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Abteilung 3\06_Nahwärme\06. Publikationen_und_Fachinfos\1.5 Tools\CO2-Bepreisung\"/>
    </mc:Choice>
  </mc:AlternateContent>
  <xr:revisionPtr revIDLastSave="0" documentId="13_ncr:1_{773D58C6-915F-45B5-88ED-B12AED25DFA0}" xr6:coauthVersionLast="36" xr6:coauthVersionMax="36" xr10:uidLastSave="{00000000-0000-0000-0000-000000000000}"/>
  <workbookProtection workbookAlgorithmName="SHA-512" workbookHashValue="G6V3woqhks05H92YWa90QAnkrur3LAVEBhXfiAp9JBpOLtSzFdtXXuqs8gY9HBJ7DbEGqGt2jTGxdljJ8DVtzw==" workbookSaltValue="mDfTz2/Rj5nE5qfBDWQdBQ==" workbookSpinCount="100000" lockStructure="1"/>
  <bookViews>
    <workbookView xWindow="0" yWindow="0" windowWidth="23280" windowHeight="12600" xr2:uid="{513C24B1-D049-413D-93C7-DB32760236CB}"/>
  </bookViews>
  <sheets>
    <sheet name="Einführung " sheetId="22" r:id="rId1"/>
    <sheet name="CO2_Bepreisungsrechner" sheetId="13" r:id="rId2"/>
    <sheet name="Preisauswirkungen" sheetId="14" state="hidden" r:id="rId3"/>
    <sheet name="Grafik" sheetId="23" state="hidden" r:id="rId4"/>
    <sheet name="Beispiele_Wohngebäude" sheetId="11" state="hidden" r:id="rId5"/>
    <sheet name="Wohngebäude_Niedriger Preis" sheetId="20" r:id="rId6"/>
    <sheet name="Wohngebäude_Moderater Preis" sheetId="21" r:id="rId7"/>
    <sheet name="Wohngebäude_Hoher Preis" sheetId="18" r:id="rId8"/>
    <sheet name="Tabelle2" sheetId="16" state="hidden" r:id="rId9"/>
    <sheet name="Tabelle1" sheetId="15" state="hidden" r:id="rId10"/>
    <sheet name="CO2-Faktoren (LAK)" sheetId="8" state="hidden" r:id="rId11"/>
    <sheet name="Heiz- und Brennwert (Bafa)" sheetId="2" state="hidden" r:id="rId12"/>
    <sheet name="CO2-Faktoren-Verkehr" sheetId="9" state="hidden" r:id="rId13"/>
    <sheet name="Umrechnungen" sheetId="10" state="hidden" r:id="rId14"/>
  </sheets>
  <definedNames>
    <definedName name="Betriebsverbrauch_PreAG" localSheetId="1">#REF!</definedName>
    <definedName name="Betriebsverbrauch_PreAG" localSheetId="10">#REF!</definedName>
    <definedName name="Betriebsverbrauch_PreAG" localSheetId="0">#REF!</definedName>
    <definedName name="Betriebsverbrauch_PreAG" localSheetId="2">#REF!</definedName>
    <definedName name="Betriebsverbrauch_PreAG" localSheetId="7">#REF!</definedName>
    <definedName name="Betriebsverbrauch_PreAG" localSheetId="6">#REF!</definedName>
    <definedName name="Betriebsverbrauch_PreAG" localSheetId="5">#REF!</definedName>
    <definedName name="Betriebsverbrauch_PreAG">#REF!</definedName>
    <definedName name="CO2_Aufschlag">Preisauswirkungen!$A$4:$N$14</definedName>
    <definedName name="CO2_Aufschlag_ExcelAlt">Preisauswirkungen!$A$4:$N$14</definedName>
    <definedName name="CO2_Kostenrechner_Excelversion_Alt" localSheetId="0">#REF!</definedName>
    <definedName name="CO2_Kostenrechner_Excelversion_Alt" localSheetId="2">#REF!</definedName>
    <definedName name="CO2_Kostenrechner_Excelversion_Alt" localSheetId="7">#REF!</definedName>
    <definedName name="CO2_Kostenrechner_Excelversion_Alt" localSheetId="6">#REF!</definedName>
    <definedName name="CO2_Kostenrechner_Excelversion_Alt" localSheetId="5">#REF!</definedName>
    <definedName name="CO2_Kostenrechner_Excelversion_Alt">#REF!</definedName>
    <definedName name="DrehstromEV" localSheetId="10">#REF!</definedName>
    <definedName name="_xlnm.Print_Area" localSheetId="4">Beispiele_Wohngebäude!$B$2:$O$28</definedName>
    <definedName name="_xlnm.Print_Area" localSheetId="1">CO2_Bepreisungsrechner!$A$1:$Q$42</definedName>
    <definedName name="_xlnm.Print_Area" localSheetId="0">'Einführung '!$A$1:$T$43</definedName>
    <definedName name="_xlnm.Print_Area" localSheetId="7">'Wohngebäude_Hoher Preis'!$A$1:$O$75</definedName>
    <definedName name="_xlnm.Print_Area" localSheetId="6">'Wohngebäude_Moderater Preis'!$A$1:$O$75</definedName>
    <definedName name="_xlnm.Print_Area" localSheetId="5">'Wohngebäude_Niedriger Preis'!$A$1:$O$75</definedName>
    <definedName name="Einphasenstrom" localSheetId="10">#REF!</definedName>
    <definedName name="Kopie" localSheetId="0">#REF!</definedName>
    <definedName name="Kopie" localSheetId="6">#REF!</definedName>
    <definedName name="Kopi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0" l="1"/>
  <c r="V59" i="15" l="1"/>
  <c r="V60" i="15"/>
  <c r="V61" i="15"/>
  <c r="V62" i="15"/>
  <c r="V58" i="15"/>
  <c r="V52" i="15"/>
  <c r="V53" i="15"/>
  <c r="V54" i="15"/>
  <c r="V55" i="15"/>
  <c r="V51" i="15"/>
  <c r="V43" i="15"/>
  <c r="V44" i="15"/>
  <c r="V45" i="15"/>
  <c r="V46" i="15"/>
  <c r="V42" i="15"/>
  <c r="V36" i="15"/>
  <c r="V37" i="15"/>
  <c r="V38" i="15"/>
  <c r="V39" i="15"/>
  <c r="V35" i="15"/>
  <c r="V26" i="15"/>
  <c r="V27" i="15"/>
  <c r="V28" i="15"/>
  <c r="V29" i="15"/>
  <c r="V30" i="15"/>
  <c r="V20" i="15"/>
  <c r="V21" i="15"/>
  <c r="V22" i="15"/>
  <c r="V23" i="15"/>
  <c r="V19" i="15"/>
  <c r="V11" i="15"/>
  <c r="V12" i="15"/>
  <c r="V13" i="15"/>
  <c r="V14" i="15"/>
  <c r="V10" i="15"/>
  <c r="V4" i="15"/>
  <c r="V5" i="15"/>
  <c r="V6" i="15"/>
  <c r="V7" i="15"/>
  <c r="V3" i="15"/>
  <c r="O30" i="15"/>
  <c r="O32" i="15"/>
  <c r="O31" i="15"/>
  <c r="D5" i="9"/>
  <c r="C7" i="9"/>
  <c r="C6" i="9"/>
  <c r="C5" i="9"/>
  <c r="O29" i="15" l="1"/>
  <c r="O28" i="15"/>
  <c r="O27" i="15"/>
  <c r="Q15" i="23" l="1"/>
  <c r="N8" i="23"/>
  <c r="N7" i="23"/>
  <c r="C88" i="23"/>
  <c r="D88" i="23"/>
  <c r="E88" i="23"/>
  <c r="F88" i="23"/>
  <c r="G88" i="23"/>
  <c r="H88" i="23"/>
  <c r="I88" i="23"/>
  <c r="J88" i="23"/>
  <c r="K88" i="23"/>
  <c r="B88" i="23"/>
  <c r="C3" i="15"/>
  <c r="L35" i="23" l="1"/>
  <c r="M35" i="23" s="1"/>
  <c r="N35" i="23" s="1"/>
  <c r="O35" i="23" s="1"/>
  <c r="P35" i="23" s="1"/>
  <c r="Q35" i="23" s="1"/>
  <c r="R35" i="23" s="1"/>
  <c r="S35" i="23" s="1"/>
  <c r="T35" i="23" s="1"/>
  <c r="U35" i="23" s="1"/>
  <c r="E35" i="23"/>
  <c r="F35" i="23" s="1"/>
  <c r="G35" i="23" s="1"/>
  <c r="H35" i="23" s="1"/>
  <c r="I35" i="23" s="1"/>
  <c r="J35" i="23" s="1"/>
  <c r="K35" i="23" s="1"/>
  <c r="D35" i="23"/>
  <c r="C35" i="23"/>
  <c r="B35" i="23"/>
  <c r="L31" i="23"/>
  <c r="M31" i="23" s="1"/>
  <c r="N31" i="23" s="1"/>
  <c r="O31" i="23" s="1"/>
  <c r="P31" i="23" s="1"/>
  <c r="Q31" i="23" s="1"/>
  <c r="R31" i="23" s="1"/>
  <c r="S31" i="23" s="1"/>
  <c r="T31" i="23" s="1"/>
  <c r="U31" i="23" s="1"/>
  <c r="L27" i="23"/>
  <c r="M27" i="23"/>
  <c r="N27" i="23" s="1"/>
  <c r="O27" i="23" s="1"/>
  <c r="P27" i="23" s="1"/>
  <c r="Q27" i="23" s="1"/>
  <c r="R27" i="23" s="1"/>
  <c r="S27" i="23" s="1"/>
  <c r="T27" i="23" s="1"/>
  <c r="U27" i="23" s="1"/>
  <c r="V27" i="23" s="1"/>
  <c r="F33" i="23"/>
  <c r="G33" i="23" s="1"/>
  <c r="H33" i="23" s="1"/>
  <c r="I33" i="23" s="1"/>
  <c r="J33" i="23" s="1"/>
  <c r="K33" i="23" s="1"/>
  <c r="L33" i="23" s="1"/>
  <c r="M33" i="23" s="1"/>
  <c r="N33" i="23" s="1"/>
  <c r="O33" i="23" s="1"/>
  <c r="P33" i="23" s="1"/>
  <c r="Q33" i="23" s="1"/>
  <c r="R33" i="23" s="1"/>
  <c r="S33" i="23" s="1"/>
  <c r="T33" i="23" s="1"/>
  <c r="U33" i="23" s="1"/>
  <c r="V33" i="23" s="1"/>
  <c r="W33" i="23" s="1"/>
  <c r="E33" i="23"/>
  <c r="E29" i="23"/>
  <c r="F29" i="23" s="1"/>
  <c r="G29" i="23" s="1"/>
  <c r="H29" i="23" s="1"/>
  <c r="I29" i="23" s="1"/>
  <c r="J29" i="23" s="1"/>
  <c r="K29" i="23" s="1"/>
  <c r="L29" i="23" s="1"/>
  <c r="M29" i="23" s="1"/>
  <c r="N29" i="23" s="1"/>
  <c r="O29" i="23" s="1"/>
  <c r="P29" i="23" s="1"/>
  <c r="Q29" i="23" s="1"/>
  <c r="R29" i="23" s="1"/>
  <c r="S29" i="23" s="1"/>
  <c r="T29" i="23" s="1"/>
  <c r="U29" i="23" s="1"/>
  <c r="V29" i="23" s="1"/>
  <c r="W29" i="23" s="1"/>
  <c r="B27" i="23"/>
  <c r="C27" i="23" s="1"/>
  <c r="D27" i="23" s="1"/>
  <c r="E27" i="23" s="1"/>
  <c r="F27" i="23" s="1"/>
  <c r="G27" i="23" s="1"/>
  <c r="H27" i="23" s="1"/>
  <c r="I27" i="23" s="1"/>
  <c r="J27" i="23" s="1"/>
  <c r="K27" i="23" s="1"/>
  <c r="B31" i="23"/>
  <c r="C31" i="23" s="1"/>
  <c r="D31" i="23" s="1"/>
  <c r="E31" i="23" s="1"/>
  <c r="F31" i="23" s="1"/>
  <c r="G31" i="23" s="1"/>
  <c r="H31" i="23" s="1"/>
  <c r="I31" i="23" s="1"/>
  <c r="J31" i="23" s="1"/>
  <c r="K31" i="23" s="1"/>
  <c r="O6" i="23" l="1"/>
  <c r="O5" i="23"/>
  <c r="N9" i="23"/>
  <c r="O4" i="23"/>
  <c r="O7" i="23" l="1"/>
  <c r="E5" i="14"/>
  <c r="F4" i="14"/>
  <c r="G4" i="14"/>
  <c r="H4" i="14"/>
  <c r="I4" i="14"/>
  <c r="J4" i="14"/>
  <c r="K4" i="14"/>
  <c r="L4" i="14"/>
  <c r="M4" i="14"/>
  <c r="N4" i="14"/>
  <c r="E4" i="14"/>
  <c r="J12" i="13"/>
  <c r="C10" i="18" l="1"/>
  <c r="D10" i="18"/>
  <c r="E10" i="18"/>
  <c r="F10" i="18"/>
  <c r="G10" i="18"/>
  <c r="C10" i="21"/>
  <c r="D10" i="21"/>
  <c r="E10" i="21"/>
  <c r="F10" i="21"/>
  <c r="G10" i="21"/>
  <c r="X62" i="15" l="1"/>
  <c r="G12" i="18" s="1"/>
  <c r="X61" i="15"/>
  <c r="F12" i="18" s="1"/>
  <c r="X60" i="15"/>
  <c r="E12" i="18" s="1"/>
  <c r="X59" i="15"/>
  <c r="D12" i="18" s="1"/>
  <c r="X58" i="15"/>
  <c r="C12" i="18" s="1"/>
  <c r="X55" i="15"/>
  <c r="G11" i="18" s="1"/>
  <c r="X54" i="15"/>
  <c r="F11" i="18" s="1"/>
  <c r="X53" i="15"/>
  <c r="E11" i="18" s="1"/>
  <c r="X52" i="15"/>
  <c r="D11" i="18" s="1"/>
  <c r="X51" i="15"/>
  <c r="C11" i="18" s="1"/>
  <c r="X46" i="15"/>
  <c r="G12" i="21" s="1"/>
  <c r="X45" i="15"/>
  <c r="F12" i="21" s="1"/>
  <c r="X44" i="15"/>
  <c r="E12" i="21" s="1"/>
  <c r="X43" i="15"/>
  <c r="D12" i="21" s="1"/>
  <c r="X42" i="15"/>
  <c r="C12" i="21" s="1"/>
  <c r="X39" i="15"/>
  <c r="G11" i="21" s="1"/>
  <c r="X38" i="15"/>
  <c r="F11" i="21" s="1"/>
  <c r="X37" i="15"/>
  <c r="E11" i="21" s="1"/>
  <c r="X36" i="15"/>
  <c r="D11" i="21" s="1"/>
  <c r="X35" i="15"/>
  <c r="C11" i="21" s="1"/>
  <c r="X30" i="15"/>
  <c r="G12" i="20" s="1"/>
  <c r="X29" i="15"/>
  <c r="F12" i="20" s="1"/>
  <c r="X28" i="15"/>
  <c r="E12" i="20" s="1"/>
  <c r="X27" i="15"/>
  <c r="D12" i="20" s="1"/>
  <c r="X26" i="15"/>
  <c r="C12" i="20" s="1"/>
  <c r="X23" i="15"/>
  <c r="G11" i="20" s="1"/>
  <c r="X22" i="15"/>
  <c r="F11" i="20" s="1"/>
  <c r="X21" i="15"/>
  <c r="E11" i="20" s="1"/>
  <c r="X20" i="15"/>
  <c r="D11" i="20" s="1"/>
  <c r="X19" i="15"/>
  <c r="C11" i="20" s="1"/>
  <c r="X14" i="15"/>
  <c r="X13" i="15"/>
  <c r="X12" i="15"/>
  <c r="X11" i="15"/>
  <c r="X10" i="15"/>
  <c r="X7" i="15"/>
  <c r="X6" i="15"/>
  <c r="X5" i="15"/>
  <c r="X4" i="15"/>
  <c r="X3" i="15"/>
  <c r="C48" i="15"/>
  <c r="G10" i="20" l="1"/>
  <c r="F10" i="20"/>
  <c r="E10" i="20"/>
  <c r="D10" i="20"/>
  <c r="P6" i="15" l="1"/>
  <c r="N6" i="15"/>
  <c r="N7" i="15" s="1"/>
  <c r="P7" i="15" l="1"/>
  <c r="P8" i="15" l="1"/>
  <c r="P9" i="15" s="1"/>
  <c r="P10" i="15" s="1"/>
  <c r="P11" i="15" s="1"/>
  <c r="P12" i="15" s="1"/>
  <c r="P13" i="15" s="1"/>
  <c r="P14" i="15" s="1"/>
  <c r="P15" i="15" s="1"/>
  <c r="P16" i="15" s="1"/>
  <c r="P17" i="15" s="1"/>
  <c r="P18" i="15" s="1"/>
  <c r="P19" i="15" s="1"/>
  <c r="P20" i="15" s="1"/>
  <c r="P21" i="15" s="1"/>
  <c r="C45" i="15"/>
  <c r="E45" i="15" s="1"/>
  <c r="C46" i="15"/>
  <c r="E46" i="15" s="1"/>
  <c r="C47" i="15"/>
  <c r="E47" i="15" s="1"/>
  <c r="E48" i="15"/>
  <c r="C44" i="15"/>
  <c r="E44" i="15" s="1"/>
  <c r="C39" i="15"/>
  <c r="E39" i="15" s="1"/>
  <c r="C40" i="15"/>
  <c r="E40" i="15" s="1"/>
  <c r="C41" i="15"/>
  <c r="E41" i="15" s="1"/>
  <c r="C38" i="15"/>
  <c r="E38" i="15" s="1"/>
  <c r="C37" i="15"/>
  <c r="E37" i="15" s="1"/>
  <c r="C31" i="15"/>
  <c r="E31" i="15" s="1"/>
  <c r="C30" i="15"/>
  <c r="E30" i="15" s="1"/>
  <c r="C29" i="15"/>
  <c r="E29" i="15" s="1"/>
  <c r="C28" i="15"/>
  <c r="E28" i="15" s="1"/>
  <c r="C27" i="15"/>
  <c r="E27" i="15" s="1"/>
  <c r="C24" i="15"/>
  <c r="E24" i="15" s="1"/>
  <c r="C23" i="15"/>
  <c r="E23" i="15" s="1"/>
  <c r="C22" i="15"/>
  <c r="E22" i="15" s="1"/>
  <c r="C21" i="15"/>
  <c r="E21" i="15" s="1"/>
  <c r="C20" i="15"/>
  <c r="E20" i="15" s="1"/>
  <c r="C7" i="15"/>
  <c r="C6" i="15"/>
  <c r="C5" i="15"/>
  <c r="C4" i="15"/>
  <c r="C11" i="15"/>
  <c r="E11" i="15" s="1"/>
  <c r="C12" i="15"/>
  <c r="E12" i="15" s="1"/>
  <c r="C13" i="15"/>
  <c r="E13" i="15" s="1"/>
  <c r="C14" i="15"/>
  <c r="E14" i="15" s="1"/>
  <c r="C10" i="15"/>
  <c r="E10" i="15" s="1"/>
  <c r="E3" i="15" l="1"/>
  <c r="E5" i="16"/>
  <c r="H5" i="16" l="1"/>
  <c r="G5" i="16"/>
  <c r="F5" i="16"/>
  <c r="D5" i="16"/>
  <c r="E7" i="15"/>
  <c r="E6" i="15"/>
  <c r="E4" i="15"/>
  <c r="E5" i="15"/>
  <c r="E6" i="16" l="1"/>
  <c r="F6" i="16"/>
  <c r="F40" i="13"/>
  <c r="F25" i="13"/>
  <c r="E6" i="14" l="1"/>
  <c r="N8" i="13" l="1"/>
  <c r="N10" i="13"/>
  <c r="N11" i="13"/>
  <c r="N12" i="13"/>
  <c r="N14" i="13"/>
  <c r="N15" i="13"/>
  <c r="M7" i="13"/>
  <c r="M8" i="13"/>
  <c r="M9" i="13"/>
  <c r="M10" i="13"/>
  <c r="M11" i="13"/>
  <c r="M12" i="13"/>
  <c r="M13" i="13"/>
  <c r="M14" i="13"/>
  <c r="M15" i="13"/>
  <c r="L7" i="13"/>
  <c r="L8" i="13"/>
  <c r="L9" i="13"/>
  <c r="L10" i="13"/>
  <c r="L11" i="13"/>
  <c r="L12" i="13"/>
  <c r="L13" i="13"/>
  <c r="L14" i="13"/>
  <c r="L15" i="13"/>
  <c r="K7" i="13"/>
  <c r="K8" i="13"/>
  <c r="K9" i="13"/>
  <c r="K10" i="13"/>
  <c r="K11" i="13"/>
  <c r="K12" i="13"/>
  <c r="K13" i="13"/>
  <c r="K14" i="13"/>
  <c r="K15" i="13"/>
  <c r="J8" i="13"/>
  <c r="J10" i="13"/>
  <c r="J11" i="13"/>
  <c r="J14" i="13"/>
  <c r="J15" i="13"/>
  <c r="I7" i="13"/>
  <c r="I8" i="13"/>
  <c r="I9" i="13"/>
  <c r="I10" i="13"/>
  <c r="I11" i="13"/>
  <c r="I12" i="13"/>
  <c r="I13" i="13"/>
  <c r="I14" i="13"/>
  <c r="I15" i="13"/>
  <c r="H7" i="13"/>
  <c r="H8" i="13"/>
  <c r="H9" i="13"/>
  <c r="H10" i="13"/>
  <c r="H11" i="13"/>
  <c r="H12" i="13"/>
  <c r="H13" i="13"/>
  <c r="H14" i="13"/>
  <c r="H15" i="13"/>
  <c r="G7" i="13"/>
  <c r="G8" i="13"/>
  <c r="G9" i="13"/>
  <c r="G10" i="13"/>
  <c r="G11" i="13"/>
  <c r="G12" i="13"/>
  <c r="G13" i="13"/>
  <c r="G14" i="13"/>
  <c r="G15" i="13"/>
  <c r="F7" i="13"/>
  <c r="F8" i="13"/>
  <c r="F9" i="13"/>
  <c r="F10" i="13"/>
  <c r="F11" i="13"/>
  <c r="F12" i="13"/>
  <c r="F13" i="13"/>
  <c r="F14" i="13"/>
  <c r="F15" i="13"/>
  <c r="E7" i="13"/>
  <c r="E8" i="13"/>
  <c r="E9" i="13"/>
  <c r="E10" i="13"/>
  <c r="E11" i="13"/>
  <c r="E12" i="13"/>
  <c r="E13" i="13"/>
  <c r="E14" i="13"/>
  <c r="E15" i="13"/>
  <c r="F41" i="13" l="1"/>
  <c r="K11" i="14" l="1"/>
  <c r="L11" i="14"/>
  <c r="M11" i="14"/>
  <c r="N11" i="14"/>
  <c r="J11" i="14"/>
  <c r="F11" i="14"/>
  <c r="G11" i="14"/>
  <c r="H11" i="14"/>
  <c r="I11" i="14"/>
  <c r="E11" i="14"/>
  <c r="K9" i="14"/>
  <c r="K10" i="14" s="1"/>
  <c r="L9" i="14"/>
  <c r="L10" i="14" s="1"/>
  <c r="M9" i="14"/>
  <c r="M10" i="14" s="1"/>
  <c r="N9" i="14"/>
  <c r="J9" i="14"/>
  <c r="J10" i="14" s="1"/>
  <c r="F9" i="14"/>
  <c r="F10" i="14" s="1"/>
  <c r="G9" i="14"/>
  <c r="G10" i="14" s="1"/>
  <c r="H9" i="14"/>
  <c r="H10" i="14" s="1"/>
  <c r="I9" i="14"/>
  <c r="I10" i="14" s="1"/>
  <c r="E9" i="14"/>
  <c r="E10" i="14" s="1"/>
  <c r="K8" i="14"/>
  <c r="L8" i="14"/>
  <c r="M8" i="14"/>
  <c r="N8" i="14"/>
  <c r="J8" i="14"/>
  <c r="F8" i="14"/>
  <c r="G8" i="14"/>
  <c r="H8" i="14"/>
  <c r="I8" i="14"/>
  <c r="E8" i="14"/>
  <c r="K7" i="14"/>
  <c r="L7" i="14"/>
  <c r="M7" i="14"/>
  <c r="N7" i="14"/>
  <c r="N13" i="13" s="1"/>
  <c r="J7" i="14"/>
  <c r="J13" i="13" s="1"/>
  <c r="F7" i="14"/>
  <c r="G7" i="14"/>
  <c r="H7" i="14"/>
  <c r="I7" i="14"/>
  <c r="E7" i="14"/>
  <c r="E6" i="13" s="1"/>
  <c r="K5" i="14"/>
  <c r="K6" i="13" s="1"/>
  <c r="L5" i="14"/>
  <c r="L6" i="13" s="1"/>
  <c r="M5" i="14"/>
  <c r="N5" i="14"/>
  <c r="J5" i="14"/>
  <c r="F5" i="14"/>
  <c r="F6" i="14" s="1"/>
  <c r="F6" i="13" s="1"/>
  <c r="G5" i="14"/>
  <c r="G6" i="14" s="1"/>
  <c r="G6" i="13" s="1"/>
  <c r="G16" i="13" s="1"/>
  <c r="H5" i="14"/>
  <c r="H6" i="14" s="1"/>
  <c r="H6" i="13" s="1"/>
  <c r="I5" i="14"/>
  <c r="I6" i="14" s="1"/>
  <c r="I6" i="13" s="1"/>
  <c r="B11" i="14"/>
  <c r="N10" i="14"/>
  <c r="B9" i="14"/>
  <c r="B8" i="14"/>
  <c r="B6" i="14"/>
  <c r="B5" i="14"/>
  <c r="F39" i="13"/>
  <c r="F38" i="13"/>
  <c r="F37" i="13"/>
  <c r="F36" i="13"/>
  <c r="F35" i="13"/>
  <c r="F34" i="13"/>
  <c r="F33" i="13"/>
  <c r="F32" i="13"/>
  <c r="F31" i="13"/>
  <c r="F30" i="13"/>
  <c r="F29" i="13"/>
  <c r="F28" i="13"/>
  <c r="F27" i="13"/>
  <c r="F26" i="13"/>
  <c r="F42" i="13"/>
  <c r="N6" i="13" l="1"/>
  <c r="J6" i="14"/>
  <c r="J6" i="13"/>
  <c r="J7" i="13"/>
  <c r="J9" i="13"/>
  <c r="M6" i="14"/>
  <c r="M6" i="13" s="1"/>
  <c r="M16" i="13" s="1"/>
  <c r="M17" i="13" s="1"/>
  <c r="L6" i="14"/>
  <c r="L16" i="13"/>
  <c r="L17" i="13" s="1"/>
  <c r="K6" i="14"/>
  <c r="K16" i="13"/>
  <c r="K17" i="13" s="1"/>
  <c r="N6" i="14"/>
  <c r="E16" i="13"/>
  <c r="E17" i="13" s="1"/>
  <c r="O8" i="13"/>
  <c r="O12" i="13"/>
  <c r="O14" i="13"/>
  <c r="H16" i="13"/>
  <c r="H17" i="13" s="1"/>
  <c r="O15" i="13"/>
  <c r="O11" i="13"/>
  <c r="O13" i="13"/>
  <c r="G17" i="13"/>
  <c r="F16" i="13"/>
  <c r="F17" i="13" s="1"/>
  <c r="I16" i="13"/>
  <c r="I17" i="13" s="1"/>
  <c r="O10" i="13"/>
  <c r="O6" i="13" l="1"/>
  <c r="J16" i="13"/>
  <c r="J17" i="13" s="1"/>
  <c r="N7" i="13"/>
  <c r="N9" i="13"/>
  <c r="O9" i="13" s="1"/>
  <c r="O7" i="13" l="1"/>
  <c r="O16" i="13" s="1"/>
  <c r="O17" i="13" s="1"/>
  <c r="N16" i="13"/>
  <c r="N17" i="13" s="1"/>
  <c r="D25" i="2"/>
  <c r="C5" i="11" l="1"/>
  <c r="D5" i="11"/>
  <c r="E5" i="11"/>
  <c r="F5" i="11"/>
  <c r="D7" i="9" l="1"/>
  <c r="D6" i="9"/>
  <c r="K12" i="14" l="1"/>
  <c r="I12" i="14"/>
  <c r="L12" i="14"/>
  <c r="E12" i="14"/>
  <c r="M12" i="14"/>
  <c r="N12" i="14"/>
  <c r="J12" i="14"/>
  <c r="F12" i="14"/>
  <c r="G12" i="14"/>
  <c r="H12" i="14"/>
  <c r="J14" i="14"/>
  <c r="M14" i="14"/>
  <c r="F14" i="14"/>
  <c r="N14" i="14"/>
  <c r="G14" i="14"/>
  <c r="H14" i="14"/>
  <c r="I14" i="14"/>
  <c r="K14" i="14"/>
  <c r="E14" i="14"/>
  <c r="L14" i="14"/>
  <c r="G13" i="14"/>
  <c r="H13" i="14"/>
  <c r="K13" i="14"/>
  <c r="I13" i="14"/>
  <c r="L13" i="14"/>
  <c r="E13" i="14"/>
  <c r="M13" i="14"/>
  <c r="N13" i="14"/>
  <c r="J13" i="14"/>
  <c r="F13" i="14"/>
  <c r="N8" i="15"/>
  <c r="N9" i="15" s="1"/>
  <c r="N10" i="15" l="1"/>
  <c r="N11" i="15" l="1"/>
  <c r="N12" i="15" l="1"/>
  <c r="N13" i="15" l="1"/>
  <c r="N14" i="15" l="1"/>
  <c r="N15" i="15" l="1"/>
  <c r="N16" i="15" l="1"/>
  <c r="N17" i="15" l="1"/>
  <c r="N18" i="15" l="1"/>
  <c r="N19" i="15" l="1"/>
  <c r="N20" i="15" l="1"/>
  <c r="N21" i="15" l="1"/>
  <c r="R6" i="15"/>
  <c r="R7" i="15"/>
  <c r="R8" i="15" s="1"/>
  <c r="R9" i="15" s="1"/>
  <c r="R10" i="15" s="1"/>
  <c r="R11" i="15" s="1"/>
  <c r="R12" i="15" s="1"/>
  <c r="R13" i="15" s="1"/>
  <c r="R14" i="15" s="1"/>
  <c r="R15" i="15" s="1"/>
  <c r="R16" i="15" s="1"/>
  <c r="R17" i="15" s="1"/>
  <c r="R18" i="15" s="1"/>
  <c r="R19" i="15" s="1"/>
  <c r="R20" i="15" s="1"/>
  <c r="R21" i="15" s="1"/>
</calcChain>
</file>

<file path=xl/sharedStrings.xml><?xml version="1.0" encoding="utf-8"?>
<sst xmlns="http://schemas.openxmlformats.org/spreadsheetml/2006/main" count="522" uniqueCount="293">
  <si>
    <t>Laut Bafa - Merkblatt zurErmittlung des Gesamtenergieverbrauchs (Stand 01.07.2020), Seite 6</t>
  </si>
  <si>
    <t>Energieträger</t>
  </si>
  <si>
    <t>Standard-
einheit</t>
  </si>
  <si>
    <t>Heizöl Leicht</t>
  </si>
  <si>
    <t>l</t>
  </si>
  <si>
    <t>Heizöl schwer</t>
  </si>
  <si>
    <t>Flüssiggas</t>
  </si>
  <si>
    <t>kg</t>
  </si>
  <si>
    <t>Erdgas 
(gemittelt L und H)</t>
  </si>
  <si>
    <t>m³</t>
  </si>
  <si>
    <t>Steinkohle</t>
  </si>
  <si>
    <t>Braunkohle</t>
  </si>
  <si>
    <t>Ottokraftstoffe</t>
  </si>
  <si>
    <t>Dieselkraftstoffe</t>
  </si>
  <si>
    <t>Biomasse Holz</t>
  </si>
  <si>
    <t>Pellets</t>
  </si>
  <si>
    <t>Biogas</t>
  </si>
  <si>
    <t>Biodiesel</t>
  </si>
  <si>
    <t>Wasserstoff</t>
  </si>
  <si>
    <t>Strom</t>
  </si>
  <si>
    <t>kWh</t>
  </si>
  <si>
    <t>Fernwärme/Fernkalte</t>
  </si>
  <si>
    <t>Emissionsfaktor</t>
  </si>
  <si>
    <r>
      <t>Kilogramm CO</t>
    </r>
    <r>
      <rPr>
        <vertAlign val="subscript"/>
        <sz val="9"/>
        <rFont val="Arial"/>
        <family val="2"/>
      </rPr>
      <t>2</t>
    </r>
    <r>
      <rPr>
        <sz val="9"/>
        <rFont val="Arial"/>
        <family val="2"/>
      </rPr>
      <t>/
Gigajoule</t>
    </r>
  </si>
  <si>
    <t xml:space="preserve">Steinkohle:  </t>
  </si>
  <si>
    <t>Kraft- und Heizwerke</t>
  </si>
  <si>
    <t>Verarbeitendes Gewerbe</t>
  </si>
  <si>
    <t>Haushalte/GHD</t>
  </si>
  <si>
    <t>Steinkohlenkoks</t>
  </si>
  <si>
    <t xml:space="preserve">Steinkohlenbriketts:  </t>
  </si>
  <si>
    <t>Übr. Umw., Verarb. Gewerbe, Haushalte/GHD</t>
  </si>
  <si>
    <t xml:space="preserve">Braunkohle: </t>
  </si>
  <si>
    <t>Kraft- und Heizwerke, übrige Umwandlung</t>
  </si>
  <si>
    <t>GHD</t>
  </si>
  <si>
    <t xml:space="preserve">Braunkohlenbriketts:  </t>
  </si>
  <si>
    <t>IKW und andere Verbraucher</t>
  </si>
  <si>
    <t>Braunkohlenkoks:</t>
  </si>
  <si>
    <t>IKW, Verarb. Gewerbe</t>
  </si>
  <si>
    <t>übrige Umwandlung und GHD</t>
  </si>
  <si>
    <t>Staub- und Trockenkohle</t>
  </si>
  <si>
    <t>Hartbraunkohle</t>
  </si>
  <si>
    <t>Rohöl</t>
  </si>
  <si>
    <t>Motorenbenzin</t>
  </si>
  <si>
    <t>Rohbenzin</t>
  </si>
  <si>
    <t>Flugbenzin</t>
  </si>
  <si>
    <t>Flugturbinenkraftstoff/Petroleum</t>
  </si>
  <si>
    <t>Dieselkraftstoff</t>
  </si>
  <si>
    <t>Heizöl EL</t>
  </si>
  <si>
    <t>Heizöl S</t>
  </si>
  <si>
    <t>Petrolkoks</t>
  </si>
  <si>
    <t>Andere Mineralölprodukte</t>
  </si>
  <si>
    <t>Raffineriegas</t>
  </si>
  <si>
    <t>Kokereigas, Stadtgas</t>
  </si>
  <si>
    <t>Erdgas</t>
  </si>
  <si>
    <t>Erdölgas</t>
  </si>
  <si>
    <t>Grubengas</t>
  </si>
  <si>
    <t xml:space="preserve">Gichtgas </t>
  </si>
  <si>
    <t>Hausmüll, Siedlungsabfall</t>
  </si>
  <si>
    <t>Industriemüll</t>
  </si>
  <si>
    <t>_____</t>
  </si>
  <si>
    <t>Quelle: Umweltbundesamt; Gichtgas: KFA Jülich</t>
  </si>
  <si>
    <t>Jahr</t>
  </si>
  <si>
    <t>Zusatzkosten nach 10 Jahren</t>
  </si>
  <si>
    <t xml:space="preserve">Einheit </t>
  </si>
  <si>
    <t xml:space="preserve">Energieverbräuche </t>
  </si>
  <si>
    <t>Eigene Liegenschaften</t>
  </si>
  <si>
    <t>kWh/l</t>
  </si>
  <si>
    <t>kWh/kWh</t>
  </si>
  <si>
    <t>kWh/m³</t>
  </si>
  <si>
    <t>kWh/kg</t>
  </si>
  <si>
    <t>Brennwert in 
kWh/Standardeinheit</t>
  </si>
  <si>
    <t>Heizwert in 
kWh/Standardeinheit</t>
  </si>
  <si>
    <t>[Cent/l]</t>
  </si>
  <si>
    <t>[Cent/kWh]</t>
  </si>
  <si>
    <t>[Cent/m³]</t>
  </si>
  <si>
    <t>[Cent/kg]</t>
  </si>
  <si>
    <t>kg/l</t>
  </si>
  <si>
    <t>Propan</t>
  </si>
  <si>
    <t>Dichte bei 15°C</t>
  </si>
  <si>
    <t>nach DIN 51622</t>
  </si>
  <si>
    <t>Brennwert</t>
  </si>
  <si>
    <t>l/kg</t>
  </si>
  <si>
    <t>Heizöl Leicht [l]</t>
  </si>
  <si>
    <t>Heizöl Leicht [kWh]</t>
  </si>
  <si>
    <t>Erdgas [kWh]</t>
  </si>
  <si>
    <t>Flüssiggas [kWh]</t>
  </si>
  <si>
    <t>Erdgas [m³]</t>
  </si>
  <si>
    <t>Flüssiggas [kg]</t>
  </si>
  <si>
    <t>Flüssiggas [l]</t>
  </si>
  <si>
    <r>
      <t>kg CO</t>
    </r>
    <r>
      <rPr>
        <vertAlign val="subscript"/>
        <sz val="9"/>
        <rFont val="Arial"/>
        <family val="2"/>
      </rPr>
      <t>2</t>
    </r>
    <r>
      <rPr>
        <sz val="9"/>
        <rFont val="Arial"/>
        <family val="2"/>
      </rPr>
      <t>/kWh</t>
    </r>
    <r>
      <rPr>
        <vertAlign val="subscript"/>
        <sz val="9"/>
        <rFont val="Arial"/>
        <family val="2"/>
      </rPr>
      <t>Ho</t>
    </r>
    <r>
      <rPr>
        <sz val="9"/>
        <rFont val="Arial"/>
        <family val="2"/>
      </rPr>
      <t xml:space="preserve">
 (= t CO2/MWh)</t>
    </r>
  </si>
  <si>
    <t>Diesel</t>
  </si>
  <si>
    <t>Umrechnungsfaktoren für Energie:</t>
  </si>
  <si>
    <t>1 t SKE</t>
  </si>
  <si>
    <t xml:space="preserve">1 t RÖE </t>
  </si>
  <si>
    <t>1 MJ</t>
  </si>
  <si>
    <t xml:space="preserve">1 GJ </t>
  </si>
  <si>
    <t>1 TJ</t>
  </si>
  <si>
    <t>1 PJ</t>
  </si>
  <si>
    <t xml:space="preserve">1 EJ </t>
  </si>
  <si>
    <t xml:space="preserve"> 140 kWh</t>
  </si>
  <si>
    <t>11630 kWh</t>
  </si>
  <si>
    <t>0,278 kWh</t>
  </si>
  <si>
    <t>278 kWh</t>
  </si>
  <si>
    <t>278 * 10^3 kWh = 278000 kWh</t>
  </si>
  <si>
    <t>278 * 10^6 kWh</t>
  </si>
  <si>
    <t>278 * 10^9 kWh</t>
  </si>
  <si>
    <t>t SKE : "Tonnen Steinkohleeinheiten"</t>
  </si>
  <si>
    <t>t RÖE : "Tonnen Rohöleinheiten"</t>
  </si>
  <si>
    <t>MJ : "Megajoule"</t>
  </si>
  <si>
    <t>GJ : "Gigajoule"</t>
  </si>
  <si>
    <t>TJ : "Terajoule"</t>
  </si>
  <si>
    <t>PJ : "Petajoule"</t>
  </si>
  <si>
    <t>EJ : "Exajoule"</t>
  </si>
  <si>
    <t>Legende</t>
  </si>
  <si>
    <t>Kilojoule: 1 kJ = 1000 J = 10^3 J</t>
  </si>
  <si>
    <t>Megajoule: 1 MJ = 1000000 J = 10^6 J</t>
  </si>
  <si>
    <t>Gigajoule: 1 GJ = 1000000000 J = 10^9 J</t>
  </si>
  <si>
    <t>Terajoule: 1 TJ = 1000000000000 J = 10^12 J</t>
  </si>
  <si>
    <t>Petajoule: 1 PJ = 1000000000000000 J = 10^15 J</t>
  </si>
  <si>
    <t>Exajoule: 1 EJ = 1000000000000000000 J = 10^18 J</t>
  </si>
  <si>
    <t>0,84 t</t>
  </si>
  <si>
    <t>840 kg</t>
  </si>
  <si>
    <t>Volumen in Masse (Gewicht)</t>
  </si>
  <si>
    <t>1000 l Ethanol</t>
  </si>
  <si>
    <t>=</t>
  </si>
  <si>
    <t>790 kg</t>
  </si>
  <si>
    <t>0,79 t</t>
  </si>
  <si>
    <t>1000 l Benzin</t>
  </si>
  <si>
    <t>750 kg</t>
  </si>
  <si>
    <t>0,75 t</t>
  </si>
  <si>
    <t>1000 l Diesel</t>
  </si>
  <si>
    <t>1000 l Biodiesel</t>
  </si>
  <si>
    <t>880 kg</t>
  </si>
  <si>
    <t>0,88 t</t>
  </si>
  <si>
    <t>1000 m³ Ethanol</t>
  </si>
  <si>
    <t>790.000 kg</t>
  </si>
  <si>
    <t>790 t</t>
  </si>
  <si>
    <t>1000 m³ Benzin</t>
  </si>
  <si>
    <t>750.000 kg</t>
  </si>
  <si>
    <t>750 t</t>
  </si>
  <si>
    <t>1000 m³ Diesel</t>
  </si>
  <si>
    <t>840.000 kg</t>
  </si>
  <si>
    <t>840 t</t>
  </si>
  <si>
    <t>1000 m³ Biodiesel</t>
  </si>
  <si>
    <t>880.000 kg</t>
  </si>
  <si>
    <t>880 t</t>
  </si>
  <si>
    <t>https://www.bdbe.de/daten/umrechnung-und-formeln</t>
  </si>
  <si>
    <t>Heizwerte</t>
  </si>
  <si>
    <t>Benzin</t>
  </si>
  <si>
    <t>Bioethanol</t>
  </si>
  <si>
    <t>Heizwert
[kWh/kg]</t>
  </si>
  <si>
    <t>Kraftstoff-
äquivalenz l</t>
  </si>
  <si>
    <t>Heizwert
[MJ/l]</t>
  </si>
  <si>
    <t>Heizwert 
[MJ/kg]</t>
  </si>
  <si>
    <t>Dichte 
[kg/l]</t>
  </si>
  <si>
    <t>https://www.gammel.de/de/lexikon/Heizwert---Brennwert/4838</t>
  </si>
  <si>
    <t>https://de.wikipedia.org/wiki/Bioethanol</t>
  </si>
  <si>
    <t>Diesel [l]</t>
  </si>
  <si>
    <t>Benzin E10 [l]</t>
  </si>
  <si>
    <t>Benzin Super [l]</t>
  </si>
  <si>
    <t>Brenn-/Treibstoff</t>
  </si>
  <si>
    <t xml:space="preserve">Nutzfläche </t>
  </si>
  <si>
    <t xml:space="preserve">Bauart </t>
  </si>
  <si>
    <t>m²</t>
  </si>
  <si>
    <t>KfW55</t>
  </si>
  <si>
    <t>KfW 70</t>
  </si>
  <si>
    <t>EFH nicht saniert</t>
  </si>
  <si>
    <t>Endenergiebedarf [kWh/m²a]</t>
  </si>
  <si>
    <t>Endenergiebedarf [kWh/a]</t>
  </si>
  <si>
    <t xml:space="preserve">Durchschnitt
Bestand Wohng. </t>
  </si>
  <si>
    <t>Quelle: Claus Ihle,2015 9.Auflage S.429</t>
  </si>
  <si>
    <t>*In diesem Tabellenblatt wird eine gegenüberstellung von Gebäuden nach Energiestandards und deren Auswirkungen auf die CO2-Bepreisung dargestellt.
Folgende Annahmen wurden getroffen: 
- Beheizung 100% Erdgas 
- Nutzfläche 125m²</t>
  </si>
  <si>
    <t>E10</t>
  </si>
  <si>
    <t>E10 hat 90% Benzin und 10% Ethanol</t>
  </si>
  <si>
    <t>11,4kWh/kg*7,4kWh/kg=11 kWh/kg, d.h. ca. 96,5% des Heizwert von Benzin</t>
  </si>
  <si>
    <t>[€/t]</t>
  </si>
  <si>
    <t>Fuhrparkrechner</t>
  </si>
  <si>
    <t>Fahrleistung</t>
  </si>
  <si>
    <t>Fahrzeug</t>
  </si>
  <si>
    <t>[km/a]</t>
  </si>
  <si>
    <t>Ø Treibstoffverbrauch</t>
  </si>
  <si>
    <t>[l/100km]</t>
  </si>
  <si>
    <t>Jährlicher Verbrauch des Fahrzeugs</t>
  </si>
  <si>
    <t>[l/a]</t>
  </si>
  <si>
    <t>Bemerkungen</t>
  </si>
  <si>
    <r>
      <t>Zusatzkosten durch CO</t>
    </r>
    <r>
      <rPr>
        <b/>
        <vertAlign val="subscript"/>
        <sz val="20"/>
        <color theme="0"/>
        <rFont val="Calibri"/>
        <family val="2"/>
        <scheme val="minor"/>
      </rPr>
      <t>2</t>
    </r>
    <r>
      <rPr>
        <b/>
        <sz val="20"/>
        <color theme="0"/>
        <rFont val="Calibri"/>
        <family val="2"/>
        <scheme val="minor"/>
      </rPr>
      <t>-Bepreisung [€/10a]</t>
    </r>
  </si>
  <si>
    <t>Treibstoff</t>
  </si>
  <si>
    <r>
      <t>Auswirkung der CO</t>
    </r>
    <r>
      <rPr>
        <vertAlign val="subscript"/>
        <sz val="20"/>
        <color theme="1"/>
        <rFont val="Calibri"/>
        <family val="2"/>
        <scheme val="minor"/>
      </rPr>
      <t>2</t>
    </r>
    <r>
      <rPr>
        <sz val="20"/>
        <color theme="1"/>
        <rFont val="Calibri"/>
        <family val="2"/>
        <scheme val="minor"/>
      </rPr>
      <t>-Bepreisung auf Brennstoffe</t>
    </r>
  </si>
  <si>
    <t>Treibstoffverbrauch des Fuhrparks an Diesel</t>
  </si>
  <si>
    <t>Treibstoffverbrauch des Fuhrparks an Benzin E10</t>
  </si>
  <si>
    <t>Treibstoffverbrauch des Fuhrparks an Benzin Super</t>
  </si>
  <si>
    <t>Mehrwertsteuer</t>
  </si>
  <si>
    <t>Faktor</t>
  </si>
  <si>
    <t>Einheit</t>
  </si>
  <si>
    <t>Heizöl (leicht)</t>
  </si>
  <si>
    <t>Benzin E10</t>
  </si>
  <si>
    <t>Benzin Super</t>
  </si>
  <si>
    <t>Liegenschaften/ Fuhrpark</t>
  </si>
  <si>
    <t>Gesamt Netto [€]</t>
  </si>
  <si>
    <t>Gesamt Brutto [€]</t>
  </si>
  <si>
    <t xml:space="preserve">Jährlicher Verbrauch </t>
  </si>
  <si>
    <t>Energie</t>
  </si>
  <si>
    <r>
      <t>kg CO</t>
    </r>
    <r>
      <rPr>
        <vertAlign val="subscript"/>
        <sz val="16"/>
        <color theme="1"/>
        <rFont val="Calibri"/>
        <family val="2"/>
        <scheme val="minor"/>
      </rPr>
      <t>2</t>
    </r>
    <r>
      <rPr>
        <sz val="16"/>
        <color theme="1"/>
        <rFont val="Calibri"/>
        <family val="2"/>
        <scheme val="minor"/>
      </rPr>
      <t xml:space="preserve"> / kWh</t>
    </r>
  </si>
  <si>
    <r>
      <rPr>
        <b/>
        <sz val="40"/>
        <color theme="0"/>
        <rFont val="Calibri"/>
        <family val="2"/>
        <scheme val="minor"/>
      </rPr>
      <t>CO</t>
    </r>
    <r>
      <rPr>
        <b/>
        <vertAlign val="subscript"/>
        <sz val="40"/>
        <color theme="0"/>
        <rFont val="Calibri"/>
        <family val="2"/>
        <scheme val="minor"/>
      </rPr>
      <t>2</t>
    </r>
    <r>
      <rPr>
        <b/>
        <sz val="40"/>
        <color theme="0"/>
        <rFont val="Calibri"/>
        <family val="2"/>
        <scheme val="minor"/>
      </rPr>
      <t xml:space="preserve">-Bepreisungsrechner </t>
    </r>
    <r>
      <rPr>
        <sz val="11"/>
        <color theme="0"/>
        <rFont val="Calibri"/>
        <family val="2"/>
        <scheme val="minor"/>
      </rPr>
      <t xml:space="preserve">
</t>
    </r>
    <r>
      <rPr>
        <sz val="20"/>
        <color theme="0"/>
        <rFont val="Calibri"/>
        <family val="2"/>
        <scheme val="minor"/>
      </rPr>
      <t>- Im Bereich Wärme und Verkehr -</t>
    </r>
  </si>
  <si>
    <r>
      <t>CO</t>
    </r>
    <r>
      <rPr>
        <b/>
        <vertAlign val="subscript"/>
        <sz val="10"/>
        <color theme="0"/>
        <rFont val="Calibri"/>
        <family val="2"/>
        <scheme val="minor"/>
      </rPr>
      <t>2</t>
    </r>
    <r>
      <rPr>
        <b/>
        <sz val="10"/>
        <color theme="0"/>
        <rFont val="Calibri"/>
        <family val="2"/>
        <scheme val="minor"/>
      </rPr>
      <t>-Bepreisung</t>
    </r>
  </si>
  <si>
    <t>Netto</t>
  </si>
  <si>
    <t>Brutto</t>
  </si>
  <si>
    <t>KfW 40</t>
  </si>
  <si>
    <t>KfW 55</t>
  </si>
  <si>
    <t>EffiH 40</t>
  </si>
  <si>
    <t>EffiH 70</t>
  </si>
  <si>
    <t>EffiH 55</t>
  </si>
  <si>
    <t>Durchschnitt</t>
  </si>
  <si>
    <t>Unsaniert</t>
  </si>
  <si>
    <t>Effizienz-Haus 40</t>
  </si>
  <si>
    <t>Effizienz-Haus 55</t>
  </si>
  <si>
    <t>Effizienz-Haus 70</t>
  </si>
  <si>
    <r>
      <t>Zusatzkosten durch CO</t>
    </r>
    <r>
      <rPr>
        <b/>
        <vertAlign val="subscript"/>
        <sz val="16"/>
        <color theme="0"/>
        <rFont val="Calibri"/>
        <family val="2"/>
        <scheme val="minor"/>
      </rPr>
      <t>2</t>
    </r>
    <r>
      <rPr>
        <b/>
        <sz val="16"/>
        <color theme="0"/>
        <rFont val="Calibri"/>
        <family val="2"/>
        <scheme val="minor"/>
      </rPr>
      <t>-Bepreisung [€/20a]</t>
    </r>
  </si>
  <si>
    <r>
      <t>Zusatzkosten durch CO</t>
    </r>
    <r>
      <rPr>
        <b/>
        <vertAlign val="subscript"/>
        <sz val="16"/>
        <color theme="0"/>
        <rFont val="Calibri"/>
        <family val="2"/>
        <scheme val="minor"/>
      </rPr>
      <t>2</t>
    </r>
    <r>
      <rPr>
        <b/>
        <sz val="16"/>
        <color theme="0"/>
        <rFont val="Calibri"/>
        <family val="2"/>
        <scheme val="minor"/>
      </rPr>
      <t xml:space="preserve">-Bepreisung [€/10a] </t>
    </r>
  </si>
  <si>
    <t>Aktuelles Szenario</t>
  </si>
  <si>
    <t>steigendes Szenario</t>
  </si>
  <si>
    <t>Erhöhtes Szenario</t>
  </si>
  <si>
    <t>Erhöht</t>
  </si>
  <si>
    <t>10 Jahre</t>
  </si>
  <si>
    <t>Aktuell</t>
  </si>
  <si>
    <t>20 Jahre</t>
  </si>
  <si>
    <t>Steigend</t>
  </si>
  <si>
    <t>Hochpreisszenario CO2-Preis steigend auf 300,- €/Tonne</t>
  </si>
  <si>
    <t>Niedrigpreisszenario</t>
  </si>
  <si>
    <t>Moderates Szenario</t>
  </si>
  <si>
    <t>Hochpreisszenario</t>
  </si>
  <si>
    <t>Niedrigpreis</t>
  </si>
  <si>
    <t>Moderat</t>
  </si>
  <si>
    <t>Hochpreis</t>
  </si>
  <si>
    <t>Quelle: https://www.bmwsb.bund.de/SharedDocs/downloads/Webs/BMWSB/DE/veroeffentlichungen/pflichtinformation-geg.pdf;jsessionid=0D3F3FCFD53A05A30076107CDC7B9B97.live861?__blob=publicationFile&amp;v=2</t>
  </si>
  <si>
    <t>Quellen:</t>
  </si>
  <si>
    <t>https://www.bmu.de/fileadmin/Daten_BMU/Download_PDF/Glaeserne_Gesetze/19._Lp/ehv_2030/Entwurf/ehv_2030_refe_bf.pdf (letzter Zugriff 22.01.2021)</t>
  </si>
  <si>
    <t>Der CO2-Bepreisungsrechner zeigt die Mehrkosten beim Einsatz fossiler Brennstoffe, die bis 2025 jährlich bzw. aufsummiert anfallen. Es können bis zu 10 verschiedene Positionen (Brennstoffe, Liegenschaften, Fuhrparks) gleichzeitig eingetragen werden. Die Grün hinterlegten Felder sind ausfüllbar.</t>
  </si>
  <si>
    <t>Eingetragen werden können die Verbräuche von Erdgas, Flüssiggas, Heizöl, Benzin und Diesel in Kilowattstunden, Kubikmetern oder Litern. Die Auswahl des Energieträgers und der Einheit erfolgt über ein Dropdown-Menü im Feld „Brenn-/Treibstoff und Einheit“.</t>
  </si>
  <si>
    <t>Ab 2026 ist ein Preis von 65 € / t CO2 voreingestellt, der Tonnenpreis kann individuell angepasst werden. 2020 war ein Preiskorridor zwischen 65 €/t und 90 €/t CO2 im Gespräch.</t>
  </si>
  <si>
    <t>Für den Fall von Änderungen beim Mehrwertsteuersatz kann dieser ebenfalls geändert werden.</t>
  </si>
  <si>
    <t>Hinweis Kraftstoff-Eingaben:</t>
  </si>
  <si>
    <t>Im Bepreisungsrechner ist nur die Eingabe in „Liter“ vorgesehen. Hilfsweise kann der Verbrauch über den Hilfrechner „Fuhrparkrechner“ über die gefahrenen Kilometer, den mittleren Verbrauch und den Treibstoff ermittelt werden.</t>
  </si>
  <si>
    <t>Im Feld „Bemerkungen“ können Anmerkungen zur jeweiligen Position gemacht und das Tabellenblatt ausgedruckt werden.</t>
  </si>
  <si>
    <t>Passwort um den Blattschutz aufzuheben: Energie</t>
  </si>
  <si>
    <t>Nutzungshinweise:</t>
  </si>
  <si>
    <t>Dieses Excel-Tool wurde mit Excel 2019 erstellt. Bei älteren Versionen (2010 und älter) kann es zu Problemen mit Funktionen und der Darstellung kommen. In diesem Fall kontaktieren Sie uns gerne.</t>
  </si>
  <si>
    <t>CO2-Bepreisungsrechner-im Bereich Wärme und Verkehr- von Energieagentur Rheinland-Pfalz GmbH ist lizenziert unter einer Creative Commons Namensnennung 4.0 International Lizenz.</t>
  </si>
  <si>
    <t>Was ist Creative Commons?</t>
  </si>
  <si>
    <t xml:space="preserve">https://creativecommons.org/licenses/?lang=de </t>
  </si>
  <si>
    <t>Einfache Beschreibung in deutsch:</t>
  </si>
  <si>
    <t xml:space="preserve">https://creativecommons.org/licenses/by/4.0/deed.de </t>
  </si>
  <si>
    <t>Lizenzbedingungen in deutscher Sprache:</t>
  </si>
  <si>
    <t xml:space="preserve">https://creativecommons.org/licenses/by/4.0/legalcode.de </t>
  </si>
  <si>
    <t>Verwendete Methodik und Emissionsfaktoren 
Die zugrundeliegenden Faktoren stammen aus dem Referentenentwurf „Entwurf einer Verordnung über die Emissionsberichterstattung nach dem Brennstoffemissionshandelsgesetz für die Jahre 2021 und 2022“. Sie berücksichtigen analog zur nationalen und internationalen Berichtserstattung keine Emissionen aus der Gewinnung, Aufbereitung und Transport der fossilen Energieträger. Der CO2-Preis ist ein Netto-Betrag und daher der Mehrwertsteuersatz zuzuschlagen.</t>
  </si>
  <si>
    <t>Quellen:
- BMU - Entwurf einer Verordnung über die Emissionsberichterstattung nach dem Brennstoffemissionshandelsgesetz für die Jahre 2021 und 2022 (Berichterstattungsverordnung 2022 – BeV 2022) vom 14.01.2019</t>
  </si>
  <si>
    <t xml:space="preserve"> https://www.bundesfinanzministerium.de/Content/DE/Downloads/Schlaglichter/Entlastungen/ergebnispapier-des-koalitionsausschusses.pdf?__blob=publicationFile&amp;v=4  (letzter Aufruf 06.09.2022)</t>
  </si>
  <si>
    <t xml:space="preserve">Für den Fall von Änderungen beim Mehrwertsteuersatz kann dieser ebenfalls geändert werden.
Hinweis Kraftstoff-Eingaben:
Im Bepreisungsrechner ist nur die Eingabe in „Liter“ vorgesehen. Hilfsweise kann der Verbrauch über den Hilfrechner „Fuhrparkrechner“ über die gefahrenen Kilometer, den mittleren Verbrauch und den Treibstoff ermittelt werden.
Im Feld „Bemerkungen“ können Anmerkungen zur jeweiligen Position gemacht und das Tabellenblatt ausgedruckt werden.
Passwort um den Blattschutz aufzuheben: Energie
Nutzungshinweise:
Dieses Excel-Tool wurde mit Excel 2019 erstellt. Bei älteren Versionen (2010 und älter) kann es zu Problemen mit Funktionen und der Darstellung kommen. In diesem Fall kontaktieren Sie uns gerne.
CO2-Bepreisungsrechner-im Bereich Wärme und Verkehr- von Energieagentur Rheinland-Pfalz GmbH ist lizenziert unter einer Creative Commons Namensnennung 4.0 International Lizenz.
Was ist Creative Commons?
https://creativecommons.org/licenses/?lang=de 
Einfache Beschreibung in deutsch:
https://creativecommons.org/licenses/by/4.0/deed.de 
Lizenzbedingungen in deutscher Sprache:
https://creativecommons.org/licenses/by/4.0/legalcode.de </t>
  </si>
  <si>
    <t xml:space="preserve">Anleitung:
Der CO2-Bepreisungsrechner zeigt die Mehrkosten beim Einsatz fossiler Brennstoffe, die bis 2025 jährlich bzw. aufsummiert anfallen. Es können bis zu 10 verschiedene Positionen (Brennstoffe, Liegenschaften, Fuhrparks) gleichzeitig eingetragen werden. Die Grün hinterlegten Felder sind ausfüllbar. Eingetragen werden können die Verbräuche von Erdgas, Flüssiggas, Heizöl, Benzin und Diesel in Kilowattstunden, Kubikmetern oder Litern. Die Auswahl des Energieträgers und der Einheit erfolgt über ein Dropdown-Menü im Feld „Brenn-/Treibstoff und Einheit“. Ab 2026 ist ein Preis von 65 € / t CO2 voreingestellt, der Tonnenpreis kann individuell angepasst werden. 2020 war ein Preiskorridor zwischen 65 €/t und 90 €/t CO2 im Gespräch. Für den Fall von Änderungen beim Mehrwertsteuersatz kann dieser ebenfalls geändert werden.
Hinweis Kraftstoff-Eingaben:
Im Bepreisungsrechner ist nur die Eingabe in „Liter“ vorgesehen. Hilfsweise kann der Verbrauch über den Hilfrechner „Fuhrparkrechner“ über die gefahrenen Kilometer, den mittleren Verbrauch und den Treibstoff ermittelt werden.
Im Feld „Bemerkungen“ können Anmerkungen zur jeweiligen Position gemacht und das Tabellenblatt ausgedruckt werden.
Passwort um den Blattschutz aufzuheben: Energie
Nutzungshinweise:
Dieses Excel-Tool wurde mit Excel 2019 erstellt. Bei älteren Versionen (2010 und älter) kann es zu Problemen mit Funktionen und der Darstellung kommen. In diesem Fall kontaktieren Sie uns gerne.
CO2-Bepreisungsrechner-im Bereich Wärme und Verkehr- von Energieagentur Rheinland-Pfalz GmbH ist lizenziert unter einer Creative Commons Namensnennung 4.0 International Lizenz.
Was ist Creative Commons?
https://creativecommons.org/licenses/?lang=de 
Einfache Beschreibung in deutsch:
https://creativecommons.org/licenses/by/4.0/deed.de 
Lizenzbedingungen in deutscher Sprache:
https://creativecommons.org/licenses/by/4.0/legalcode.de 
</t>
  </si>
  <si>
    <t xml:space="preserve">2024
</t>
  </si>
  <si>
    <t xml:space="preserve">2025
</t>
  </si>
  <si>
    <t xml:space="preserve">2026
</t>
  </si>
  <si>
    <t xml:space="preserve">2027
</t>
  </si>
  <si>
    <t xml:space="preserve">2028
</t>
  </si>
  <si>
    <t xml:space="preserve">2029
</t>
  </si>
  <si>
    <t xml:space="preserve">2030
</t>
  </si>
  <si>
    <t xml:space="preserve">2031
</t>
  </si>
  <si>
    <t xml:space="preserve">2032
</t>
  </si>
  <si>
    <t xml:space="preserve">2033
</t>
  </si>
  <si>
    <t>Gebäudesektor</t>
  </si>
  <si>
    <t>Deutschland</t>
  </si>
  <si>
    <t>Co2 - Emission in Tonnen 2022</t>
  </si>
  <si>
    <t>Anteil</t>
  </si>
  <si>
    <t>*</t>
  </si>
  <si>
    <t>niedriger Preis 65 €</t>
  </si>
  <si>
    <t>pro Jahr</t>
  </si>
  <si>
    <t>aufsummiert</t>
  </si>
  <si>
    <t xml:space="preserve">pro Jahr </t>
  </si>
  <si>
    <t>mittlerer Preis 100 €</t>
  </si>
  <si>
    <t>hoher Preis 300 €</t>
  </si>
  <si>
    <t>Aufpreis pro kWh</t>
  </si>
  <si>
    <r>
      <t>Kohlendioxid (CO</t>
    </r>
    <r>
      <rPr>
        <b/>
        <vertAlign val="subscript"/>
        <sz val="11"/>
        <rFont val="Arial"/>
        <family val="2"/>
      </rPr>
      <t>2</t>
    </r>
    <r>
      <rPr>
        <b/>
        <sz val="11"/>
        <rFont val="Arial"/>
        <family val="2"/>
      </rPr>
      <t>) - Emissionsfaktoren nach Energieträgern (LAK Bilanzen 2020)</t>
    </r>
  </si>
  <si>
    <t>Motorbenzin (Super E10)</t>
  </si>
  <si>
    <t>Rohbenzin (Super)</t>
  </si>
  <si>
    <r>
      <rPr>
        <b/>
        <sz val="11"/>
        <rFont val="Calibri"/>
        <family val="2"/>
        <scheme val="minor"/>
      </rPr>
      <t>Anleitung:</t>
    </r>
    <r>
      <rPr>
        <sz val="11"/>
        <rFont val="Calibri"/>
        <family val="2"/>
        <scheme val="minor"/>
      </rPr>
      <t xml:space="preserve">
Der CO</t>
    </r>
    <r>
      <rPr>
        <sz val="8"/>
        <rFont val="Calibri"/>
        <family val="2"/>
        <scheme val="minor"/>
      </rPr>
      <t>2</t>
    </r>
    <r>
      <rPr>
        <sz val="11"/>
        <rFont val="Calibri"/>
        <family val="2"/>
        <scheme val="minor"/>
      </rPr>
      <t>-Bepreisungsrechner zeigt die Mehrkosten beim Einsatz fossiler Brennstoffe, die in den nächsten zehn Jahren jährlich bzw. aufsummiert anfallen. Es können bis zu 10 verschiedene Positionen (Brennstoffe, Liegenschaften, Fuhrparks) gleichzeitig eingetragen werden. Die grün hinterlegten Felder sind ausfüllbar. Eingetragen werden können die Verbräuche von Erdgas, Flüssiggas, Heizöl, Benzin und Diesel in Kilowattstunden, Kubikmetern oder Litern. Die Auswahl des Energieträgers und der Einheit erfolgt über ein Dropdown-Menü im Feld „Brenn- / Treibstoff und Einheit“. Ab 2026 ist ein Preis von 65 € / t CO</t>
    </r>
    <r>
      <rPr>
        <sz val="8"/>
        <rFont val="Calibri"/>
        <family val="2"/>
        <scheme val="minor"/>
      </rPr>
      <t>2</t>
    </r>
    <r>
      <rPr>
        <sz val="11"/>
        <rFont val="Calibri"/>
        <family val="2"/>
        <scheme val="minor"/>
      </rPr>
      <t xml:space="preserve"> voreingestellt, der Tonnenpreis kann individuell angepasst werden. 2020 war ein Preiskorridor zwischen 65 € / t und 90 € / t CO</t>
    </r>
    <r>
      <rPr>
        <sz val="8"/>
        <rFont val="Calibri"/>
        <family val="2"/>
        <scheme val="minor"/>
      </rPr>
      <t>2</t>
    </r>
    <r>
      <rPr>
        <sz val="11"/>
        <rFont val="Calibri"/>
        <family val="2"/>
        <scheme val="minor"/>
      </rPr>
      <t xml:space="preserve"> im Gespräch. Für den Fall von Änderungen beim Mehrwertsteuersatz kann dieser ebenfalls geändert werden.
</t>
    </r>
    <r>
      <rPr>
        <b/>
        <sz val="11"/>
        <rFont val="Calibri"/>
        <family val="2"/>
        <scheme val="minor"/>
      </rPr>
      <t>Hinweis Kraftstoff-Eingaben:</t>
    </r>
    <r>
      <rPr>
        <sz val="11"/>
        <rFont val="Calibri"/>
        <family val="2"/>
        <scheme val="minor"/>
      </rPr>
      <t xml:space="preserve">
Im Bepreisungsrechner ist nur die Eingabe in „Liter“ vorgesehen. Hilfsweise kann der Verbrauch über den Hilfsrechner „Fuhrparkrechner“ über die gefahrenen Kilometer, den mittleren Verbrauch und den Treibstoff ermittelt werden.
Im Feld „Bemerkungen“ können Anmerkungen zur jeweiligen Position gemacht werden.
Passwort um den Blattschutz aufzuheben: </t>
    </r>
    <r>
      <rPr>
        <b/>
        <sz val="11"/>
        <rFont val="Calibri"/>
        <family val="2"/>
        <scheme val="minor"/>
      </rPr>
      <t>Energie</t>
    </r>
    <r>
      <rPr>
        <sz val="11"/>
        <rFont val="Calibri"/>
        <family val="2"/>
        <scheme val="minor"/>
      </rPr>
      <t xml:space="preserve">
</t>
    </r>
    <r>
      <rPr>
        <b/>
        <sz val="11"/>
        <rFont val="Calibri"/>
        <family val="2"/>
        <scheme val="minor"/>
      </rPr>
      <t>Nutzungshinweise:</t>
    </r>
    <r>
      <rPr>
        <sz val="11"/>
        <rFont val="Calibri"/>
        <family val="2"/>
        <scheme val="minor"/>
      </rPr>
      <t xml:space="preserve">
Dieses Excel-Tool wurde mit Excel 2019 erstellt. Bei älteren Versionen (2010 und älter) kann es zu Problemen mit Funktionen und der Darstellung kommen. In diesem Fall kontaktieren Sie uns gerne.
CO</t>
    </r>
    <r>
      <rPr>
        <sz val="8"/>
        <rFont val="Calibri"/>
        <family val="2"/>
        <scheme val="minor"/>
      </rPr>
      <t>2</t>
    </r>
    <r>
      <rPr>
        <sz val="11"/>
        <rFont val="Calibri"/>
        <family val="2"/>
        <scheme val="minor"/>
      </rPr>
      <t xml:space="preserve">-Bepreisungsrechner - im Bereich Wärme und Verkehr - von Energieagentur Rheinland-Pfalz GmbH ist lizenziert unter einer Creative Commons Namensnennung 4.0 International Lizenz.
Was ist Creative Commons?
https://creativecommons.org/licenses/?lang=de 
Einfache Beschreibung in deutsch:
https://creativecommons.org/licenses/by/4.0/deed.de 
Lizenzbedingungen in deutscher Sprache:
https://creativecommons.org/licenses/by/4.0/legalcode.de 
</t>
    </r>
  </si>
  <si>
    <r>
      <t xml:space="preserve">Anleitung:
</t>
    </r>
    <r>
      <rPr>
        <sz val="11"/>
        <color theme="1"/>
        <rFont val="Calibri"/>
        <family val="2"/>
        <scheme val="minor"/>
      </rPr>
      <t>Der CO</t>
    </r>
    <r>
      <rPr>
        <vertAlign val="subscript"/>
        <sz val="11"/>
        <color theme="1"/>
        <rFont val="Calibri"/>
        <family val="2"/>
        <scheme val="minor"/>
      </rPr>
      <t>2</t>
    </r>
    <r>
      <rPr>
        <sz val="11"/>
        <color theme="1"/>
        <rFont val="Calibri"/>
        <family val="2"/>
        <scheme val="minor"/>
      </rPr>
      <t>-Bepreisungsrechner zeigt die Zusatzkosten beim Einsatz fossiler Brennstoffe,</t>
    </r>
    <r>
      <rPr>
        <sz val="11"/>
        <color rgb="FFFF0000"/>
        <rFont val="Calibri"/>
        <family val="2"/>
        <scheme val="minor"/>
      </rPr>
      <t xml:space="preserve"> </t>
    </r>
    <r>
      <rPr>
        <sz val="11"/>
        <rFont val="Calibri"/>
        <family val="2"/>
        <scheme val="minor"/>
      </rPr>
      <t>die in den nächsten zehn Jahren</t>
    </r>
    <r>
      <rPr>
        <sz val="11"/>
        <color theme="1"/>
        <rFont val="Calibri"/>
        <family val="2"/>
        <scheme val="minor"/>
      </rPr>
      <t xml:space="preserve"> jährlich bzw. aufsummiert anfallen. Es können bis zu 10 verschiedene Positionen (Brennstoffe, Liegenschaften, Fuhrparks)
 gleichzeitig eingetragen werden. Eingetragen werden können die Verbräuche von Erdgas, Flüssiggas, Heizöl, Benzin und Diesel in Kilowattstunden, Kubikmetern oder Litern. </t>
    </r>
    <r>
      <rPr>
        <b/>
        <sz val="11"/>
        <color theme="1"/>
        <rFont val="Calibri"/>
        <family val="2"/>
        <scheme val="minor"/>
      </rPr>
      <t xml:space="preserve">
</t>
    </r>
    <r>
      <rPr>
        <sz val="11"/>
        <color theme="1"/>
        <rFont val="Calibri"/>
        <family val="2"/>
        <scheme val="minor"/>
      </rPr>
      <t>&gt; Die grün hinterlegten Felder sind ausfüllbar.</t>
    </r>
    <r>
      <rPr>
        <b/>
        <sz val="11"/>
        <color theme="1"/>
        <rFont val="Calibri"/>
        <family val="2"/>
        <scheme val="minor"/>
      </rPr>
      <t xml:space="preserve"> Insbesondere der aktuelle CO</t>
    </r>
    <r>
      <rPr>
        <b/>
        <sz val="9"/>
        <color theme="1"/>
        <rFont val="Calibri"/>
        <family val="2"/>
        <scheme val="minor"/>
      </rPr>
      <t>2</t>
    </r>
    <r>
      <rPr>
        <b/>
        <sz val="11"/>
        <color theme="1"/>
        <rFont val="Calibri"/>
        <family val="2"/>
        <scheme val="minor"/>
      </rPr>
      <t xml:space="preserve"> - Preis.
&gt;</t>
    </r>
    <r>
      <rPr>
        <sz val="11"/>
        <color theme="1"/>
        <rFont val="Calibri"/>
        <family val="2"/>
        <scheme val="minor"/>
      </rPr>
      <t xml:space="preserve"> Die Auswahl des Energieträgers und der Einheit erfolgt über ein Dropdown-Menü im Feld „Brenn- / Treibstoff“.
&gt; Im Feld „Bemerkungen“ können Anmerkungen zur jeweiligen Position gemacht und das Tabellenblatt ausgedruckt werden.
&gt; Der Tonnenpreis kann individuell angepasst werden. Ab 2026 ist ein Preis von 65 € / t voreingestellt. Nach 2026 ist ein Preiskorridor zwischen 65 € / t und 90 € / t CO</t>
    </r>
    <r>
      <rPr>
        <vertAlign val="subscript"/>
        <sz val="11"/>
        <color theme="1"/>
        <rFont val="Calibri"/>
        <family val="2"/>
        <scheme val="minor"/>
      </rPr>
      <t>2</t>
    </r>
    <r>
      <rPr>
        <sz val="11"/>
        <color theme="1"/>
        <rFont val="Calibri"/>
        <family val="2"/>
        <scheme val="minor"/>
      </rPr>
      <t xml:space="preserve"> im Gespräch. Verschiedene Preisszenarien (siehe Grafik "Einführung") gehen von einem Preisanstieg auf 100 € / t bis 300 € / t bis 2044 aus.
&gt; Für den Fall von Änderungen beim Mehrwertsteuersatz kann dieser ebenfalls geändert werden.
</t>
    </r>
    <r>
      <rPr>
        <u/>
        <sz val="11"/>
        <color theme="1"/>
        <rFont val="Calibri"/>
        <family val="2"/>
        <scheme val="minor"/>
      </rPr>
      <t>Hinweis Kraftstoff-Eingaben:</t>
    </r>
    <r>
      <rPr>
        <sz val="11"/>
        <color theme="1"/>
        <rFont val="Calibri"/>
        <family val="2"/>
        <scheme val="minor"/>
      </rPr>
      <t xml:space="preserve">
Im Rechner ist nur die Eingabe in „Liter“ vorgesehen. Hilfsweise kann der Verbrauch über den Hilfrechner „Fuhrparkrechner“ über die gefahrenen Kilometer, den mittleren Verbrauch und den Treibstoff ermittelt werden.
</t>
    </r>
    <r>
      <rPr>
        <u/>
        <sz val="11"/>
        <color theme="1"/>
        <rFont val="Calibri"/>
        <family val="2"/>
        <scheme val="minor"/>
      </rPr>
      <t>Hinweis zur Nutzung:</t>
    </r>
    <r>
      <rPr>
        <sz val="11"/>
        <color theme="1"/>
        <rFont val="Calibri"/>
        <family val="2"/>
        <scheme val="minor"/>
      </rPr>
      <t xml:space="preserve">
Dieses Excel-Tool wurde mit Excel 2019 erstellt. Bei älteren Versionen (2010 und älter) kann es zu Problemen mit Funktionen und der Darstellung kommen. In diesem Fall kontaktieren Sie uns gerne.
</t>
    </r>
  </si>
  <si>
    <r>
      <t>Niedrigpreisszenario CO</t>
    </r>
    <r>
      <rPr>
        <b/>
        <u/>
        <vertAlign val="subscript"/>
        <sz val="24"/>
        <color theme="1"/>
        <rFont val="Calibri"/>
        <family val="2"/>
        <scheme val="minor"/>
      </rPr>
      <t>2</t>
    </r>
    <r>
      <rPr>
        <b/>
        <u/>
        <sz val="24"/>
        <color theme="1"/>
        <rFont val="Calibri"/>
        <family val="2"/>
        <scheme val="minor"/>
      </rPr>
      <t>-Preis steigend auf 100,- € / Tonne</t>
    </r>
  </si>
  <si>
    <r>
      <t>Diese Beispiele wurden für ein durchschnittlich großes Haus in Deutschland anhand der Preisszenarien erstellt, die zu Beratungen bei den „Pflichtinformationen beim Einbau einer neuen Heizung“ zur Verfügung gestellt werden. Das Beispielhaus wird mit Erdgas beheizt. Sie können daher von den CO</t>
    </r>
    <r>
      <rPr>
        <sz val="12"/>
        <color theme="1"/>
        <rFont val="Calibri"/>
        <family val="2"/>
        <scheme val="minor"/>
      </rPr>
      <t>2</t>
    </r>
    <r>
      <rPr>
        <sz val="18"/>
        <color theme="1"/>
        <rFont val="Calibri"/>
        <family val="2"/>
        <scheme val="minor"/>
      </rPr>
      <t>-Preisen im Vergleichsrechner abweichen.</t>
    </r>
  </si>
  <si>
    <r>
      <t>Moderates Preisszenario CO</t>
    </r>
    <r>
      <rPr>
        <b/>
        <u/>
        <sz val="18"/>
        <color theme="1"/>
        <rFont val="Calibri"/>
        <family val="2"/>
        <scheme val="minor"/>
      </rPr>
      <t>2</t>
    </r>
    <r>
      <rPr>
        <b/>
        <u/>
        <sz val="24"/>
        <color theme="1"/>
        <rFont val="Calibri"/>
        <family val="2"/>
        <scheme val="minor"/>
      </rPr>
      <t>-Preis steigend auf 200 € / Tonne</t>
    </r>
  </si>
  <si>
    <r>
      <rPr>
        <b/>
        <u/>
        <sz val="11"/>
        <rFont val="Calibri"/>
        <family val="2"/>
        <scheme val="minor"/>
      </rPr>
      <t>Einführung:</t>
    </r>
    <r>
      <rPr>
        <sz val="11"/>
        <rFont val="Calibri"/>
        <family val="2"/>
        <scheme val="minor"/>
      </rPr>
      <t xml:space="preserve">
Seit dem 01. Januar 2021 zahlen alle Verbraucher von fossilen Energieträgern, sei es für Wärmeerzeugung oder als Treibstoff, eine Abgabe für das dadurch freigesetzte Kohlendioxid (CO</t>
    </r>
    <r>
      <rPr>
        <vertAlign val="subscript"/>
        <sz val="11"/>
        <rFont val="Calibri"/>
        <family val="2"/>
        <scheme val="minor"/>
      </rPr>
      <t>2</t>
    </r>
    <r>
      <rPr>
        <sz val="11"/>
        <rFont val="Calibri"/>
        <family val="2"/>
        <scheme val="minor"/>
      </rPr>
      <t>). Dies ist Teil des Klimaschutzprogramm 2030 der Bundesrepublik Deutschland vom September 2019 und soll einen Anreiz zur Einsparung von Treibhausgasemissionen setzen. Der aktuelle Preis von 45 € pro Tonne CO</t>
    </r>
    <r>
      <rPr>
        <vertAlign val="subscript"/>
        <sz val="11"/>
        <rFont val="Calibri"/>
        <family val="2"/>
        <scheme val="minor"/>
      </rPr>
      <t>2</t>
    </r>
    <r>
      <rPr>
        <sz val="11"/>
        <rFont val="Calibri"/>
        <family val="2"/>
        <scheme val="minor"/>
      </rPr>
      <t xml:space="preserve"> steigt bis 2025 auf 55 € an. Ab 2026 ist ein Preiskorridor zwischen 55 € und 65 € pro Tonne CO</t>
    </r>
    <r>
      <rPr>
        <vertAlign val="subscript"/>
        <sz val="11"/>
        <rFont val="Calibri"/>
        <family val="2"/>
        <scheme val="minor"/>
      </rPr>
      <t>2</t>
    </r>
    <r>
      <rPr>
        <sz val="11"/>
        <rFont val="Calibri"/>
        <family val="2"/>
        <scheme val="minor"/>
      </rPr>
      <t xml:space="preserve"> vorgesehen (§10 BEHG).</t>
    </r>
    <r>
      <rPr>
        <sz val="11"/>
        <color theme="7"/>
        <rFont val="Calibri"/>
        <family val="2"/>
        <scheme val="minor"/>
      </rPr>
      <t xml:space="preserve"> </t>
    </r>
    <r>
      <rPr>
        <sz val="11"/>
        <rFont val="Calibri"/>
        <family val="2"/>
        <scheme val="minor"/>
      </rPr>
      <t>Ab 2027 soll der CO</t>
    </r>
    <r>
      <rPr>
        <sz val="8"/>
        <rFont val="Calibri"/>
        <family val="2"/>
        <scheme val="minor"/>
      </rPr>
      <t>2</t>
    </r>
    <r>
      <rPr>
        <sz val="11"/>
        <rFont val="Calibri"/>
        <family val="2"/>
        <scheme val="minor"/>
      </rPr>
      <t>-Preis über ein Emissionshandelsystem frei am Markt gehandelt werden. Verschiedene Preisentwicklungsszenarien sind in der Grafik rechts unten abgebildet.
Mit dem Bepreisungsrechner der Energieagentur Rheinland-Pfalz können diese Mehrkosten für alle fossilen Energieträger für die kommenden Jahre jährlich und als Summe berechnet werden. Kommunen können so die kommenden Haushaltsbelastungen abschätzen und bei Planungen von Investitionen in den Fuhrpark oder die Wärmeerzeugung der eigenen Liegenschaften den Effekt der CO</t>
    </r>
    <r>
      <rPr>
        <vertAlign val="subscript"/>
        <sz val="11"/>
        <rFont val="Calibri"/>
        <family val="2"/>
        <scheme val="minor"/>
      </rPr>
      <t>2</t>
    </r>
    <r>
      <rPr>
        <sz val="11"/>
        <rFont val="Calibri"/>
        <family val="2"/>
        <scheme val="minor"/>
      </rPr>
      <t xml:space="preserve">-Bepreisung einrechnen.
</t>
    </r>
    <r>
      <rPr>
        <b/>
        <sz val="11"/>
        <rFont val="Calibri"/>
        <family val="2"/>
        <scheme val="minor"/>
      </rPr>
      <t>Hintergrund Klimaschutzpaket 2030 und CO</t>
    </r>
    <r>
      <rPr>
        <b/>
        <vertAlign val="subscript"/>
        <sz val="11"/>
        <rFont val="Calibri"/>
        <family val="2"/>
        <scheme val="minor"/>
      </rPr>
      <t>2</t>
    </r>
    <r>
      <rPr>
        <b/>
        <sz val="11"/>
        <rFont val="Calibri"/>
        <family val="2"/>
        <scheme val="minor"/>
      </rPr>
      <t xml:space="preserve">-Bepreisung
</t>
    </r>
    <r>
      <rPr>
        <sz val="11"/>
        <rFont val="Calibri"/>
        <family val="2"/>
        <scheme val="minor"/>
      </rPr>
      <t>Der Klimawandel und Temperaturanstieg sind mittlerweile unbestritten. Ursache dafür ist die Verstärkung des Treibhausgaseffektes, aufgrund des durch die Verbrennung von fossilen Brennstoffen stark zunehmenden Kohlendioxidgehalts der Atmosphäre. Im Pariser Weltklimaabkommen 2015 verständigten sich 197 Staaten darauf, den Temperaturanstieg auf höchstens 2 Grad, besser 1,5 Grad, zu begrenzen. Die EU beschloss daraufhin, die europäischen Treibhausgasemissionen bis 2030 um 40 % gegenüber 1990 zu senken. Die Mitgliedstaaten haben nationale Ziele bis 2030 abgeleitet und wollen in der Mehrheit bis 2050 treibhausgasneutral werden. In Deutschland wurde 2019 zum Klimaschutzplan 2050 das Klimaschutzprogramm 2030 verabschiedet. 
Ein Element ist die Bepreisung von Kohlendioxid (CO</t>
    </r>
    <r>
      <rPr>
        <vertAlign val="subscript"/>
        <sz val="11"/>
        <rFont val="Calibri"/>
        <family val="2"/>
        <scheme val="minor"/>
      </rPr>
      <t>2</t>
    </r>
    <r>
      <rPr>
        <sz val="11"/>
        <rFont val="Calibri"/>
        <family val="2"/>
        <scheme val="minor"/>
      </rPr>
      <t>) außerhalb des Emissionshandels (ETS) von Industrie und Energiewirtschaft. Für alle fossilen Energieträger, die in der Wärmeerzeugung oder als Treibstoffe im Verkehr eingesetzt werden, führen Händler je nach emittierter Menge CO</t>
    </r>
    <r>
      <rPr>
        <vertAlign val="subscript"/>
        <sz val="11"/>
        <rFont val="Calibri"/>
        <family val="2"/>
        <scheme val="minor"/>
      </rPr>
      <t>2</t>
    </r>
    <r>
      <rPr>
        <vertAlign val="subscript"/>
        <sz val="12"/>
        <rFont val="Calibri"/>
        <family val="2"/>
        <scheme val="minor"/>
      </rPr>
      <t>,</t>
    </r>
    <r>
      <rPr>
        <sz val="11"/>
        <rFont val="Calibri"/>
        <family val="2"/>
        <scheme val="minor"/>
      </rPr>
      <t xml:space="preserve"> die Abgabe an den Staat ab und geben die Mehrkosten an die Endkunden weiter. Die zusätzlichen Einnahmen werden in Klimaschutzfördermaßnahmen reinvestiert und an die Bürgerinnen und Bürger zurückgegeben.</t>
    </r>
  </si>
  <si>
    <r>
      <rPr>
        <b/>
        <sz val="11"/>
        <rFont val="Calibri"/>
        <family val="2"/>
        <scheme val="minor"/>
      </rPr>
      <t xml:space="preserve">Verwendete Methodik und Emissionsfaktoren </t>
    </r>
    <r>
      <rPr>
        <sz val="11"/>
        <rFont val="Calibri"/>
        <family val="2"/>
        <scheme val="minor"/>
      </rPr>
      <t xml:space="preserve">
Die zugrundeliegenden Faktoren stammen aus dem Referentenentwurf „Entwurf einer Verordnung über die Emissionsberichterstattung nach dem Brennstoffemissionshandelsgesetz für die Jahre 2021 und 2022“. Sie berücksichtigen analog zur nationalen und internationalen Berichtserstattung keine Emissionen aus der Gewinnung, Aufbereitung und dem Transport der fossilen Energieträger. Der CO</t>
    </r>
    <r>
      <rPr>
        <sz val="8"/>
        <rFont val="Calibri"/>
        <family val="2"/>
        <scheme val="minor"/>
      </rPr>
      <t>2</t>
    </r>
    <r>
      <rPr>
        <sz val="11"/>
        <rFont val="Calibri"/>
        <family val="2"/>
        <scheme val="minor"/>
      </rPr>
      <t>-Preis ist ein Netto-Betrag und daher der Mehrwertsteuersatz zuzuschlagen.</t>
    </r>
  </si>
  <si>
    <t>Häuser A</t>
  </si>
  <si>
    <t xml:space="preserve">2034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</si>
</sst>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quot;            &quot;\ \ \ \ \ \ \ \ \ \ \ \ \ \ \ \ \ \ "/>
    <numFmt numFmtId="165" formatCode="0.0"/>
    <numFmt numFmtId="166" formatCode="0.000000000"/>
    <numFmt numFmtId="167" formatCode="#,##0.0\ &quot;kWh/l&quot;"/>
    <numFmt numFmtId="168" formatCode="0.0000"/>
    <numFmt numFmtId="169" formatCode="#,##0.00\ "/>
    <numFmt numFmtId="170" formatCode="#,##0\ "/>
    <numFmt numFmtId="171" formatCode="_-* #,##0.00\ [$€-407]_-;\-* #,##0.00\ [$€-407]_-;_-* &quot;-&quot;??\ [$€-407]_-;_-@_-"/>
  </numFmts>
  <fonts count="57" x14ac:knownFonts="1">
    <font>
      <sz val="11"/>
      <color theme="1"/>
      <name val="Calibri"/>
      <family val="2"/>
      <scheme val="minor"/>
    </font>
    <font>
      <b/>
      <sz val="11"/>
      <color theme="1"/>
      <name val="Calibri"/>
      <family val="2"/>
      <scheme val="minor"/>
    </font>
    <font>
      <b/>
      <sz val="11"/>
      <color theme="4"/>
      <name val="Calibri"/>
      <family val="2"/>
      <scheme val="minor"/>
    </font>
    <font>
      <sz val="8"/>
      <name val="Helv"/>
    </font>
    <font>
      <b/>
      <sz val="11"/>
      <name val="Arial"/>
      <family val="2"/>
    </font>
    <font>
      <b/>
      <vertAlign val="subscript"/>
      <sz val="11"/>
      <name val="Arial"/>
      <family val="2"/>
    </font>
    <font>
      <sz val="9"/>
      <name val="Helv"/>
    </font>
    <font>
      <b/>
      <sz val="10"/>
      <name val="Arial"/>
      <family val="2"/>
    </font>
    <font>
      <sz val="9"/>
      <name val="Arial"/>
      <family val="2"/>
    </font>
    <font>
      <vertAlign val="subscript"/>
      <sz val="9"/>
      <name val="Arial"/>
      <family val="2"/>
    </font>
    <font>
      <sz val="10"/>
      <name val="MS Sans Serif"/>
    </font>
    <font>
      <sz val="11"/>
      <name val="Calibri"/>
      <family val="2"/>
      <scheme val="minor"/>
    </font>
    <font>
      <sz val="9"/>
      <color rgb="FF000000"/>
      <name val="Calibri Light"/>
      <family val="2"/>
      <scheme val="major"/>
    </font>
    <font>
      <sz val="9"/>
      <color theme="1"/>
      <name val="Calibri Light"/>
      <family val="2"/>
      <scheme val="major"/>
    </font>
    <font>
      <b/>
      <sz val="11"/>
      <color rgb="FF000000"/>
      <name val="Calibri Light"/>
      <family val="2"/>
      <scheme val="major"/>
    </font>
    <font>
      <u/>
      <sz val="11"/>
      <color theme="10"/>
      <name val="Calibri"/>
      <family val="2"/>
      <scheme val="minor"/>
    </font>
    <font>
      <b/>
      <sz val="20"/>
      <color theme="0"/>
      <name val="Calibri"/>
      <family val="2"/>
      <scheme val="minor"/>
    </font>
    <font>
      <b/>
      <vertAlign val="subscript"/>
      <sz val="20"/>
      <color theme="0"/>
      <name val="Calibri"/>
      <family val="2"/>
      <scheme val="minor"/>
    </font>
    <font>
      <sz val="20"/>
      <color theme="1"/>
      <name val="Calibri"/>
      <family val="2"/>
      <scheme val="minor"/>
    </font>
    <font>
      <b/>
      <sz val="20"/>
      <color theme="1"/>
      <name val="Calibri"/>
      <family val="2"/>
      <scheme val="minor"/>
    </font>
    <font>
      <vertAlign val="subscript"/>
      <sz val="20"/>
      <color theme="1"/>
      <name val="Calibri"/>
      <family val="2"/>
      <scheme val="minor"/>
    </font>
    <font>
      <b/>
      <sz val="26"/>
      <color theme="0"/>
      <name val="Calibri"/>
      <family val="2"/>
      <scheme val="minor"/>
    </font>
    <font>
      <b/>
      <sz val="11"/>
      <name val="Calibri"/>
      <family val="2"/>
      <scheme val="minor"/>
    </font>
    <font>
      <vertAlign val="subscript"/>
      <sz val="11"/>
      <name val="Calibri"/>
      <family val="2"/>
      <scheme val="minor"/>
    </font>
    <font>
      <b/>
      <u/>
      <sz val="11"/>
      <name val="Calibri"/>
      <family val="2"/>
      <scheme val="minor"/>
    </font>
    <font>
      <sz val="11"/>
      <color theme="1"/>
      <name val="Calibri"/>
      <family val="2"/>
      <scheme val="minor"/>
    </font>
    <font>
      <vertAlign val="subscrip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b/>
      <sz val="10"/>
      <name val="Calibri"/>
      <family val="2"/>
      <scheme val="minor"/>
    </font>
    <font>
      <sz val="10"/>
      <name val="Calibri"/>
      <family val="2"/>
      <scheme val="minor"/>
    </font>
    <font>
      <sz val="11"/>
      <color theme="0"/>
      <name val="Calibri"/>
      <family val="2"/>
      <scheme val="minor"/>
    </font>
    <font>
      <b/>
      <sz val="40"/>
      <color theme="0"/>
      <name val="Calibri"/>
      <family val="2"/>
      <scheme val="minor"/>
    </font>
    <font>
      <b/>
      <vertAlign val="subscript"/>
      <sz val="40"/>
      <color theme="0"/>
      <name val="Calibri"/>
      <family val="2"/>
      <scheme val="minor"/>
    </font>
    <font>
      <sz val="20"/>
      <color theme="0"/>
      <name val="Calibri"/>
      <family val="2"/>
      <scheme val="minor"/>
    </font>
    <font>
      <b/>
      <sz val="16"/>
      <color theme="0"/>
      <name val="Calibri"/>
      <family val="2"/>
      <scheme val="minor"/>
    </font>
    <font>
      <sz val="16"/>
      <color theme="1"/>
      <name val="Calibri"/>
      <family val="2"/>
      <scheme val="minor"/>
    </font>
    <font>
      <vertAlign val="subscript"/>
      <sz val="16"/>
      <color theme="1"/>
      <name val="Calibri"/>
      <family val="2"/>
      <scheme val="minor"/>
    </font>
    <font>
      <b/>
      <vertAlign val="subscript"/>
      <sz val="11"/>
      <name val="Calibri"/>
      <family val="2"/>
      <scheme val="minor"/>
    </font>
    <font>
      <b/>
      <vertAlign val="subscript"/>
      <sz val="16"/>
      <color theme="0"/>
      <name val="Calibri"/>
      <family val="2"/>
      <scheme val="minor"/>
    </font>
    <font>
      <b/>
      <u/>
      <sz val="11"/>
      <color theme="1"/>
      <name val="Calibri"/>
      <family val="2"/>
      <scheme val="minor"/>
    </font>
    <font>
      <sz val="24"/>
      <color theme="1"/>
      <name val="Calibri"/>
      <family val="2"/>
      <scheme val="minor"/>
    </font>
    <font>
      <b/>
      <sz val="24"/>
      <color theme="1"/>
      <name val="Calibri"/>
      <family val="2"/>
      <scheme val="minor"/>
    </font>
    <font>
      <b/>
      <u/>
      <sz val="24"/>
      <color theme="1"/>
      <name val="Calibri"/>
      <family val="2"/>
      <scheme val="minor"/>
    </font>
    <font>
      <b/>
      <u/>
      <vertAlign val="subscript"/>
      <sz val="24"/>
      <color theme="1"/>
      <name val="Calibri"/>
      <family val="2"/>
      <scheme val="minor"/>
    </font>
    <font>
      <sz val="18"/>
      <color theme="1"/>
      <name val="Calibri"/>
      <family val="2"/>
      <scheme val="minor"/>
    </font>
    <font>
      <u/>
      <sz val="18"/>
      <color theme="10"/>
      <name val="Calibri"/>
      <family val="2"/>
      <scheme val="minor"/>
    </font>
    <font>
      <sz val="11"/>
      <color theme="7"/>
      <name val="Calibri"/>
      <family val="2"/>
      <scheme val="minor"/>
    </font>
    <font>
      <u/>
      <sz val="11"/>
      <color theme="1"/>
      <name val="Calibri"/>
      <family val="2"/>
      <scheme val="minor"/>
    </font>
    <font>
      <sz val="11"/>
      <color rgb="FFFF0000"/>
      <name val="Calibri"/>
      <family val="2"/>
      <scheme val="minor"/>
    </font>
    <font>
      <sz val="8"/>
      <name val="Calibri"/>
      <family val="2"/>
      <scheme val="minor"/>
    </font>
    <font>
      <vertAlign val="subscript"/>
      <sz val="12"/>
      <name val="Calibri"/>
      <family val="2"/>
      <scheme val="minor"/>
    </font>
    <font>
      <b/>
      <sz val="9"/>
      <color theme="1"/>
      <name val="Calibri"/>
      <family val="2"/>
      <scheme val="minor"/>
    </font>
    <font>
      <sz val="12"/>
      <color theme="1"/>
      <name val="Calibri"/>
      <family val="2"/>
      <scheme val="minor"/>
    </font>
    <font>
      <b/>
      <u/>
      <sz val="1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6CA6"/>
        <bgColor indexed="64"/>
      </patternFill>
    </fill>
    <fill>
      <patternFill patternType="solid">
        <fgColor rgb="FFD3E088"/>
        <bgColor indexed="64"/>
      </patternFill>
    </fill>
    <fill>
      <patternFill patternType="solid">
        <fgColor rgb="FFFFFFA3"/>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rgb="FFFF0000"/>
      </left>
      <right style="medium">
        <color indexed="64"/>
      </right>
      <top style="thick">
        <color rgb="FFFF0000"/>
      </top>
      <bottom style="thick">
        <color rgb="FFFF0000"/>
      </bottom>
      <diagonal/>
    </border>
    <border>
      <left style="medium">
        <color indexed="64"/>
      </left>
      <right style="medium">
        <color indexed="64"/>
      </right>
      <top style="thick">
        <color rgb="FFFF0000"/>
      </top>
      <bottom style="thick">
        <color rgb="FFFF0000"/>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rgb="FFFF0000"/>
      </left>
      <right style="medium">
        <color auto="1"/>
      </right>
      <top style="thick">
        <color rgb="FFFF0000"/>
      </top>
      <bottom style="medium">
        <color auto="1"/>
      </bottom>
      <diagonal/>
    </border>
    <border>
      <left style="medium">
        <color auto="1"/>
      </left>
      <right style="medium">
        <color auto="1"/>
      </right>
      <top style="thick">
        <color rgb="FFFF0000"/>
      </top>
      <bottom style="medium">
        <color auto="1"/>
      </bottom>
      <diagonal/>
    </border>
    <border>
      <left style="medium">
        <color auto="1"/>
      </left>
      <right style="thick">
        <color rgb="FFFF0000"/>
      </right>
      <top style="thick">
        <color rgb="FFFF0000"/>
      </top>
      <bottom style="medium">
        <color auto="1"/>
      </bottom>
      <diagonal/>
    </border>
    <border>
      <left style="thick">
        <color rgb="FFFF0000"/>
      </left>
      <right style="medium">
        <color auto="1"/>
      </right>
      <top style="medium">
        <color auto="1"/>
      </top>
      <bottom style="medium">
        <color auto="1"/>
      </bottom>
      <diagonal/>
    </border>
    <border>
      <left style="medium">
        <color auto="1"/>
      </left>
      <right style="thick">
        <color rgb="FFFF0000"/>
      </right>
      <top style="medium">
        <color auto="1"/>
      </top>
      <bottom style="medium">
        <color auto="1"/>
      </bottom>
      <diagonal/>
    </border>
    <border>
      <left style="thick">
        <color rgb="FFFF0000"/>
      </left>
      <right style="medium">
        <color auto="1"/>
      </right>
      <top style="medium">
        <color auto="1"/>
      </top>
      <bottom style="thick">
        <color rgb="FFFF0000"/>
      </bottom>
      <diagonal/>
    </border>
    <border>
      <left style="medium">
        <color auto="1"/>
      </left>
      <right style="medium">
        <color auto="1"/>
      </right>
      <top style="medium">
        <color auto="1"/>
      </top>
      <bottom style="thick">
        <color rgb="FFFF0000"/>
      </bottom>
      <diagonal/>
    </border>
    <border>
      <left style="medium">
        <color auto="1"/>
      </left>
      <right style="thick">
        <color rgb="FFFF0000"/>
      </right>
      <top style="medium">
        <color auto="1"/>
      </top>
      <bottom style="thick">
        <color rgb="FFFF0000"/>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ck">
        <color indexed="64"/>
      </top>
      <bottom/>
      <diagonal/>
    </border>
    <border>
      <left style="thick">
        <color indexed="64"/>
      </left>
      <right style="medium">
        <color indexed="64"/>
      </right>
      <top style="medium">
        <color indexed="64"/>
      </top>
      <bottom style="thick">
        <color rgb="FFFF0000"/>
      </bottom>
      <diagonal/>
    </border>
    <border>
      <left style="medium">
        <color indexed="64"/>
      </left>
      <right style="thick">
        <color indexed="64"/>
      </right>
      <top style="medium">
        <color indexed="64"/>
      </top>
      <bottom style="thick">
        <color rgb="FFFF0000"/>
      </bottom>
      <diagonal/>
    </border>
    <border>
      <left/>
      <right style="medium">
        <color indexed="64"/>
      </right>
      <top style="thick">
        <color rgb="FFFF0000"/>
      </top>
      <bottom style="thick">
        <color rgb="FFFF0000"/>
      </bottom>
      <diagonal/>
    </border>
    <border>
      <left style="medium">
        <color indexed="64"/>
      </left>
      <right style="medium">
        <color indexed="64"/>
      </right>
      <top style="thick">
        <color rgb="FFFF0000"/>
      </top>
      <bottom/>
      <diagonal/>
    </border>
    <border>
      <left style="medium">
        <color indexed="64"/>
      </left>
      <right style="thick">
        <color indexed="64"/>
      </right>
      <top style="medium">
        <color indexed="64"/>
      </top>
      <bottom/>
      <diagonal/>
    </border>
    <border>
      <left style="thick">
        <color auto="1"/>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right style="thick">
        <color indexed="64"/>
      </right>
      <top/>
      <bottom style="medium">
        <color indexed="64"/>
      </bottom>
      <diagonal/>
    </border>
    <border>
      <left style="medium">
        <color rgb="FF006CA6"/>
      </left>
      <right/>
      <top style="medium">
        <color rgb="FF006CA6"/>
      </top>
      <bottom style="medium">
        <color rgb="FF006CA6"/>
      </bottom>
      <diagonal/>
    </border>
    <border>
      <left/>
      <right/>
      <top style="medium">
        <color rgb="FF006CA6"/>
      </top>
      <bottom style="medium">
        <color rgb="FF006CA6"/>
      </bottom>
      <diagonal/>
    </border>
    <border>
      <left/>
      <right style="medium">
        <color rgb="FF006CA6"/>
      </right>
      <top style="medium">
        <color rgb="FF006CA6"/>
      </top>
      <bottom style="medium">
        <color rgb="FF006CA6"/>
      </bottom>
      <diagonal/>
    </border>
    <border>
      <left/>
      <right style="medium">
        <color indexed="64"/>
      </right>
      <top style="thick">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style="thick">
        <color auto="1"/>
      </bottom>
      <diagonal/>
    </border>
    <border>
      <left/>
      <right/>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0" fontId="3" fillId="0" borderId="0"/>
    <xf numFmtId="0" fontId="10" fillId="0" borderId="0"/>
    <xf numFmtId="0" fontId="15" fillId="0" borderId="0" applyNumberFormat="0" applyFill="0" applyBorder="0" applyAlignment="0" applyProtection="0"/>
    <xf numFmtId="9" fontId="25" fillId="0" borderId="0" applyFont="0" applyFill="0" applyBorder="0" applyAlignment="0" applyProtection="0"/>
    <xf numFmtId="44" fontId="25" fillId="0" borderId="0" applyFont="0" applyFill="0" applyBorder="0" applyAlignment="0" applyProtection="0"/>
  </cellStyleXfs>
  <cellXfs count="252">
    <xf numFmtId="0" fontId="0" fillId="0" borderId="0" xfId="0"/>
    <xf numFmtId="0" fontId="1"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0" fillId="0" borderId="7" xfId="0" applyBorder="1"/>
    <xf numFmtId="0" fontId="0" fillId="0" borderId="7" xfId="0" applyBorder="1" applyAlignment="1">
      <alignment wrapText="1"/>
    </xf>
    <xf numFmtId="0" fontId="0" fillId="0" borderId="7" xfId="0" applyFill="1" applyBorder="1"/>
    <xf numFmtId="0" fontId="6" fillId="0" borderId="0" xfId="1" applyFont="1" applyProtection="1"/>
    <xf numFmtId="0" fontId="3" fillId="0" borderId="0" xfId="1" applyProtection="1"/>
    <xf numFmtId="0" fontId="7" fillId="0" borderId="8" xfId="1" applyFont="1" applyBorder="1" applyAlignment="1" applyProtection="1">
      <alignment horizontal="centerContinuous" vertical="center"/>
    </xf>
    <xf numFmtId="0" fontId="8" fillId="0" borderId="8" xfId="1" applyFont="1" applyBorder="1" applyAlignment="1" applyProtection="1">
      <alignment horizontal="centerContinuous" vertical="center" wrapText="1"/>
    </xf>
    <xf numFmtId="0" fontId="8" fillId="4" borderId="8" xfId="1" applyFont="1" applyFill="1" applyBorder="1" applyAlignment="1" applyProtection="1">
      <alignment horizontal="centerContinuous" vertical="center" wrapText="1"/>
    </xf>
    <xf numFmtId="0" fontId="8" fillId="0" borderId="0" xfId="2" applyFont="1" applyBorder="1" applyAlignment="1"/>
    <xf numFmtId="164" fontId="8" fillId="0" borderId="9" xfId="2" applyNumberFormat="1" applyFont="1" applyBorder="1" applyAlignment="1"/>
    <xf numFmtId="0" fontId="8" fillId="5" borderId="0" xfId="2" applyFont="1" applyFill="1" applyBorder="1" applyAlignment="1"/>
    <xf numFmtId="164" fontId="8" fillId="5" borderId="9" xfId="2" applyNumberFormat="1" applyFont="1" applyFill="1" applyBorder="1" applyAlignment="1"/>
    <xf numFmtId="0" fontId="6" fillId="5" borderId="0" xfId="1" applyFont="1" applyFill="1" applyProtection="1"/>
    <xf numFmtId="0" fontId="3" fillId="5" borderId="0" xfId="1" applyFill="1" applyProtection="1"/>
    <xf numFmtId="0" fontId="3" fillId="0" borderId="0" xfId="1" applyFont="1" applyProtection="1"/>
    <xf numFmtId="164" fontId="8" fillId="0" borderId="0" xfId="2" applyNumberFormat="1" applyFont="1" applyBorder="1" applyAlignment="1"/>
    <xf numFmtId="0" fontId="0" fillId="0" borderId="0" xfId="0" applyAlignment="1">
      <alignment horizontal="center"/>
    </xf>
    <xf numFmtId="0" fontId="13" fillId="0" borderId="0" xfId="0" applyFont="1"/>
    <xf numFmtId="0" fontId="13" fillId="0" borderId="7" xfId="0" applyFont="1" applyBorder="1" applyAlignment="1">
      <alignment horizontal="left" vertical="center" indent="1"/>
    </xf>
    <xf numFmtId="0" fontId="13" fillId="0" borderId="7" xfId="0" applyFont="1" applyBorder="1"/>
    <xf numFmtId="0" fontId="12" fillId="0" borderId="7" xfId="0" applyFont="1" applyBorder="1" applyAlignment="1">
      <alignment horizontal="left" vertical="center" indent="1"/>
    </xf>
    <xf numFmtId="0" fontId="14" fillId="8" borderId="0" xfId="0" applyFont="1" applyFill="1" applyBorder="1" applyAlignment="1">
      <alignment vertical="center"/>
    </xf>
    <xf numFmtId="0" fontId="0" fillId="8" borderId="0" xfId="0" applyFill="1"/>
    <xf numFmtId="0" fontId="0" fillId="0" borderId="0" xfId="0" applyAlignment="1">
      <alignment horizontal="left"/>
    </xf>
    <xf numFmtId="0" fontId="0" fillId="0" borderId="7" xfId="0" applyBorder="1" applyAlignment="1"/>
    <xf numFmtId="0" fontId="15" fillId="0" borderId="0" xfId="3"/>
    <xf numFmtId="0" fontId="0" fillId="0" borderId="7" xfId="0" applyBorder="1" applyAlignment="1">
      <alignment vertical="center" wrapText="1"/>
    </xf>
    <xf numFmtId="0" fontId="0" fillId="8" borderId="7" xfId="0" applyFill="1" applyBorder="1" applyAlignment="1">
      <alignment horizontal="center"/>
    </xf>
    <xf numFmtId="167" fontId="0" fillId="0" borderId="0" xfId="0" applyNumberFormat="1"/>
    <xf numFmtId="0" fontId="18" fillId="0" borderId="7" xfId="0" applyFont="1" applyBorder="1" applyAlignment="1">
      <alignment horizontal="center"/>
    </xf>
    <xf numFmtId="0" fontId="18" fillId="0" borderId="7" xfId="0" applyFont="1" applyBorder="1"/>
    <xf numFmtId="0" fontId="18" fillId="0" borderId="14" xfId="0" applyFont="1" applyBorder="1" applyAlignment="1">
      <alignment horizontal="center" vertical="center"/>
    </xf>
    <xf numFmtId="0" fontId="18" fillId="0" borderId="14" xfId="0" applyFont="1" applyBorder="1" applyAlignment="1">
      <alignment horizontal="center"/>
    </xf>
    <xf numFmtId="0" fontId="18" fillId="0" borderId="23" xfId="0" applyFont="1" applyBorder="1" applyAlignment="1">
      <alignment horizontal="center" vertical="center"/>
    </xf>
    <xf numFmtId="0" fontId="18" fillId="0" borderId="23" xfId="0" applyFont="1" applyBorder="1" applyAlignment="1">
      <alignment horizontal="center"/>
    </xf>
    <xf numFmtId="0" fontId="18" fillId="0" borderId="0" xfId="0" applyFont="1"/>
    <xf numFmtId="0" fontId="18" fillId="0" borderId="0" xfId="0" applyFont="1" applyAlignment="1">
      <alignment horizontal="center"/>
    </xf>
    <xf numFmtId="0" fontId="19" fillId="6" borderId="7" xfId="0" applyFont="1" applyFill="1" applyBorder="1" applyAlignment="1">
      <alignment horizontal="center" vertical="center" wrapText="1"/>
    </xf>
    <xf numFmtId="1" fontId="19" fillId="6" borderId="7" xfId="0" applyNumberFormat="1" applyFont="1" applyFill="1" applyBorder="1" applyAlignment="1">
      <alignment horizontal="center" vertical="center"/>
    </xf>
    <xf numFmtId="0" fontId="18" fillId="3" borderId="7" xfId="0" applyFont="1" applyFill="1" applyBorder="1" applyAlignment="1">
      <alignment horizontal="center" vertical="center" wrapText="1"/>
    </xf>
    <xf numFmtId="165" fontId="18" fillId="3" borderId="7" xfId="0" applyNumberFormat="1" applyFont="1" applyFill="1" applyBorder="1" applyAlignment="1">
      <alignment horizontal="center" vertical="center"/>
    </xf>
    <xf numFmtId="0" fontId="18" fillId="6" borderId="7" xfId="0" applyFont="1" applyFill="1" applyBorder="1" applyAlignment="1">
      <alignment horizontal="center" vertical="center" wrapText="1"/>
    </xf>
    <xf numFmtId="165" fontId="18" fillId="6" borderId="7" xfId="0" applyNumberFormat="1" applyFont="1" applyFill="1" applyBorder="1" applyAlignment="1">
      <alignment horizontal="center" vertical="center"/>
    </xf>
    <xf numFmtId="0" fontId="18" fillId="3" borderId="7" xfId="0" applyFont="1" applyFill="1" applyBorder="1" applyAlignment="1">
      <alignment horizontal="center"/>
    </xf>
    <xf numFmtId="0" fontId="18" fillId="3" borderId="7" xfId="0" applyFont="1" applyFill="1" applyBorder="1"/>
    <xf numFmtId="0" fontId="18" fillId="7" borderId="7" xfId="0" applyFont="1" applyFill="1" applyBorder="1" applyAlignment="1">
      <alignment horizontal="center"/>
    </xf>
    <xf numFmtId="165" fontId="18" fillId="0" borderId="7" xfId="0" applyNumberFormat="1" applyFont="1" applyBorder="1" applyAlignment="1">
      <alignment horizontal="center"/>
    </xf>
    <xf numFmtId="166" fontId="18" fillId="0" borderId="7" xfId="0" applyNumberFormat="1" applyFont="1" applyBorder="1" applyAlignment="1">
      <alignment horizontal="center"/>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horizontal="center"/>
      <protection hidden="1"/>
    </xf>
    <xf numFmtId="0" fontId="0" fillId="0" borderId="0" xfId="0" applyAlignment="1" applyProtection="1">
      <alignment horizontal="center" vertical="top"/>
      <protection hidden="1"/>
    </xf>
    <xf numFmtId="0" fontId="11" fillId="0" borderId="0" xfId="0" applyFont="1" applyAlignment="1" applyProtection="1">
      <alignment wrapText="1"/>
    </xf>
    <xf numFmtId="0" fontId="0" fillId="0" borderId="0" xfId="0" applyAlignment="1">
      <alignment wrapText="1"/>
    </xf>
    <xf numFmtId="0" fontId="0" fillId="2" borderId="0" xfId="0" applyFill="1" applyProtection="1">
      <protection hidden="1"/>
    </xf>
    <xf numFmtId="0" fontId="28" fillId="0" borderId="0" xfId="0" applyFont="1"/>
    <xf numFmtId="0" fontId="28" fillId="0" borderId="0" xfId="0" applyFont="1" applyBorder="1"/>
    <xf numFmtId="170" fontId="28" fillId="2" borderId="40" xfId="0" applyNumberFormat="1" applyFont="1" applyFill="1" applyBorder="1" applyAlignment="1">
      <alignment horizontal="center" vertical="center"/>
    </xf>
    <xf numFmtId="0" fontId="28" fillId="2" borderId="0" xfId="0" applyFont="1" applyFill="1" applyBorder="1"/>
    <xf numFmtId="170" fontId="27" fillId="2" borderId="19" xfId="0" applyNumberFormat="1" applyFont="1" applyFill="1" applyBorder="1" applyAlignment="1">
      <alignment horizontal="center" vertical="center"/>
    </xf>
    <xf numFmtId="4" fontId="28" fillId="0" borderId="0" xfId="0" applyNumberFormat="1" applyFont="1"/>
    <xf numFmtId="170" fontId="29" fillId="9" borderId="12" xfId="0" applyNumberFormat="1" applyFont="1" applyFill="1" applyBorder="1" applyAlignment="1">
      <alignment horizontal="center" vertical="center" wrapText="1"/>
    </xf>
    <xf numFmtId="170" fontId="29" fillId="9" borderId="19" xfId="0" applyNumberFormat="1" applyFont="1" applyFill="1" applyBorder="1" applyAlignment="1">
      <alignment horizontal="center" vertical="center" wrapText="1"/>
    </xf>
    <xf numFmtId="0" fontId="29" fillId="9" borderId="12" xfId="0" applyFont="1" applyFill="1" applyBorder="1" applyAlignment="1">
      <alignment horizontal="center" vertical="center"/>
    </xf>
    <xf numFmtId="0" fontId="29" fillId="9" borderId="13" xfId="0" applyFont="1" applyFill="1" applyBorder="1" applyAlignment="1">
      <alignment horizontal="center" vertical="center"/>
    </xf>
    <xf numFmtId="0" fontId="29" fillId="9" borderId="18" xfId="0" applyFont="1" applyFill="1" applyBorder="1" applyAlignment="1">
      <alignment vertical="center"/>
    </xf>
    <xf numFmtId="0" fontId="29" fillId="9" borderId="19" xfId="0" applyFont="1" applyFill="1" applyBorder="1" applyAlignment="1">
      <alignment horizontal="center" vertical="center"/>
    </xf>
    <xf numFmtId="0" fontId="16" fillId="9" borderId="35" xfId="0" applyFont="1" applyFill="1" applyBorder="1" applyAlignment="1"/>
    <xf numFmtId="0" fontId="16" fillId="9" borderId="14" xfId="0" applyFont="1" applyFill="1" applyBorder="1" applyAlignment="1"/>
    <xf numFmtId="0" fontId="21" fillId="9" borderId="20" xfId="0" applyFont="1" applyFill="1" applyBorder="1" applyAlignment="1"/>
    <xf numFmtId="0" fontId="21" fillId="9" borderId="34" xfId="0" applyFont="1" applyFill="1" applyBorder="1" applyAlignment="1"/>
    <xf numFmtId="0" fontId="16" fillId="9" borderId="23" xfId="0" applyFont="1" applyFill="1" applyBorder="1" applyAlignment="1"/>
    <xf numFmtId="3" fontId="28" fillId="10" borderId="38" xfId="0" applyNumberFormat="1" applyFont="1" applyFill="1" applyBorder="1" applyAlignment="1" applyProtection="1">
      <alignment horizontal="center" vertical="center" wrapText="1"/>
      <protection locked="0"/>
    </xf>
    <xf numFmtId="3" fontId="28" fillId="10" borderId="39" xfId="0" applyNumberFormat="1" applyFont="1" applyFill="1" applyBorder="1" applyAlignment="1" applyProtection="1">
      <alignment horizontal="center" vertical="center"/>
      <protection locked="0"/>
    </xf>
    <xf numFmtId="3" fontId="28" fillId="10" borderId="41" xfId="0" applyNumberFormat="1" applyFont="1" applyFill="1" applyBorder="1" applyAlignment="1" applyProtection="1">
      <alignment horizontal="center" vertical="center" wrapText="1"/>
      <protection locked="0"/>
    </xf>
    <xf numFmtId="9" fontId="28" fillId="10" borderId="19" xfId="4" applyFont="1" applyFill="1" applyBorder="1" applyAlignment="1" applyProtection="1">
      <alignment horizontal="center" vertical="center"/>
      <protection locked="0"/>
    </xf>
    <xf numFmtId="3" fontId="28" fillId="10" borderId="12" xfId="0" applyNumberFormat="1" applyFont="1" applyFill="1" applyBorder="1" applyAlignment="1" applyProtection="1">
      <alignment horizontal="center" vertical="center"/>
      <protection locked="0"/>
    </xf>
    <xf numFmtId="169" fontId="31" fillId="10" borderId="23" xfId="0" applyNumberFormat="1" applyFont="1" applyFill="1" applyBorder="1" applyAlignment="1" applyProtection="1">
      <alignment horizontal="center" vertical="center" wrapText="1"/>
      <protection locked="0"/>
    </xf>
    <xf numFmtId="169" fontId="31" fillId="10" borderId="46" xfId="0" applyNumberFormat="1" applyFont="1" applyFill="1" applyBorder="1" applyAlignment="1" applyProtection="1">
      <alignment horizontal="center" vertical="center" wrapText="1"/>
      <protection locked="0"/>
    </xf>
    <xf numFmtId="2" fontId="31" fillId="10" borderId="28" xfId="0" applyNumberFormat="1" applyFont="1" applyFill="1" applyBorder="1" applyAlignment="1" applyProtection="1">
      <alignment horizontal="center" vertical="center" wrapText="1"/>
      <protection locked="0"/>
    </xf>
    <xf numFmtId="2" fontId="31" fillId="10" borderId="33" xfId="0" applyNumberFormat="1" applyFont="1" applyFill="1" applyBorder="1" applyAlignment="1" applyProtection="1">
      <alignment horizontal="center" vertical="center" wrapText="1"/>
      <protection locked="0"/>
    </xf>
    <xf numFmtId="3" fontId="28" fillId="10" borderId="14" xfId="0" applyNumberFormat="1" applyFont="1" applyFill="1" applyBorder="1" applyAlignment="1" applyProtection="1">
      <alignment horizontal="center" vertical="center" wrapText="1"/>
      <protection locked="0"/>
    </xf>
    <xf numFmtId="3" fontId="28" fillId="10" borderId="14" xfId="0" applyNumberFormat="1" applyFont="1" applyFill="1" applyBorder="1" applyAlignment="1" applyProtection="1">
      <alignment vertical="center" wrapText="1"/>
      <protection locked="0"/>
    </xf>
    <xf numFmtId="3" fontId="28" fillId="10" borderId="32" xfId="0" applyNumberFormat="1" applyFont="1" applyFill="1" applyBorder="1" applyAlignment="1" applyProtection="1">
      <alignment horizontal="center" vertical="center" wrapText="1"/>
      <protection locked="0"/>
    </xf>
    <xf numFmtId="3" fontId="28" fillId="10" borderId="32" xfId="0" applyNumberFormat="1" applyFont="1" applyFill="1" applyBorder="1" applyAlignment="1" applyProtection="1">
      <alignment vertical="center" wrapText="1"/>
      <protection locked="0"/>
    </xf>
    <xf numFmtId="0" fontId="11" fillId="0" borderId="0" xfId="0" applyFont="1" applyAlignment="1" applyProtection="1">
      <alignment horizontal="left" vertical="center" wrapText="1"/>
    </xf>
    <xf numFmtId="0" fontId="37" fillId="9" borderId="25" xfId="0" applyFont="1" applyFill="1" applyBorder="1" applyAlignment="1" applyProtection="1">
      <alignment horizontal="center"/>
    </xf>
    <xf numFmtId="0" fontId="37" fillId="9" borderId="20" xfId="0" applyFont="1" applyFill="1" applyBorder="1" applyAlignment="1" applyProtection="1">
      <alignment horizontal="center"/>
    </xf>
    <xf numFmtId="0" fontId="37" fillId="9" borderId="34" xfId="0" applyFont="1" applyFill="1" applyBorder="1" applyAlignment="1" applyProtection="1">
      <alignment horizontal="center"/>
    </xf>
    <xf numFmtId="0" fontId="37" fillId="9" borderId="35" xfId="0" applyFont="1" applyFill="1" applyBorder="1" applyAlignment="1" applyProtection="1">
      <alignment horizontal="center"/>
    </xf>
    <xf numFmtId="168" fontId="38" fillId="0" borderId="14" xfId="0" applyNumberFormat="1" applyFont="1" applyBorder="1" applyAlignment="1" applyProtection="1">
      <alignment horizontal="center"/>
    </xf>
    <xf numFmtId="0" fontId="38" fillId="0" borderId="23" xfId="0" applyFont="1" applyBorder="1" applyAlignment="1" applyProtection="1">
      <alignment horizontal="center"/>
    </xf>
    <xf numFmtId="0" fontId="37" fillId="9" borderId="36" xfId="0" applyFont="1" applyFill="1" applyBorder="1" applyAlignment="1" applyProtection="1">
      <alignment horizontal="center"/>
    </xf>
    <xf numFmtId="168" fontId="38" fillId="0" borderId="17" xfId="0" applyNumberFormat="1" applyFont="1" applyBorder="1" applyAlignment="1" applyProtection="1">
      <alignment horizontal="center"/>
    </xf>
    <xf numFmtId="0" fontId="38" fillId="0" borderId="37" xfId="0" applyFont="1" applyBorder="1" applyAlignment="1" applyProtection="1">
      <alignment horizontal="center"/>
    </xf>
    <xf numFmtId="44" fontId="0" fillId="0" borderId="0" xfId="5" applyFont="1"/>
    <xf numFmtId="44" fontId="18" fillId="0" borderId="14" xfId="5" applyFont="1" applyBorder="1" applyAlignment="1">
      <alignment horizontal="center"/>
    </xf>
    <xf numFmtId="44" fontId="18" fillId="0" borderId="23" xfId="5" applyFont="1" applyBorder="1" applyAlignment="1">
      <alignment horizontal="center"/>
    </xf>
    <xf numFmtId="0" fontId="16" fillId="9" borderId="55" xfId="0" applyFont="1" applyFill="1" applyBorder="1" applyAlignment="1"/>
    <xf numFmtId="0" fontId="16" fillId="0" borderId="55" xfId="0" applyFont="1" applyFill="1" applyBorder="1" applyAlignment="1"/>
    <xf numFmtId="0" fontId="16" fillId="0" borderId="55" xfId="0" applyFont="1" applyFill="1" applyBorder="1" applyAlignment="1">
      <alignment horizontal="center"/>
    </xf>
    <xf numFmtId="0" fontId="37" fillId="9" borderId="20" xfId="0" applyFont="1" applyFill="1" applyBorder="1" applyAlignment="1"/>
    <xf numFmtId="0" fontId="37" fillId="9" borderId="34" xfId="0" applyFont="1" applyFill="1" applyBorder="1" applyAlignment="1"/>
    <xf numFmtId="0" fontId="37" fillId="9" borderId="35" xfId="0" applyFont="1" applyFill="1" applyBorder="1" applyAlignment="1"/>
    <xf numFmtId="0" fontId="37" fillId="9" borderId="14" xfId="0" applyFont="1" applyFill="1" applyBorder="1" applyAlignment="1"/>
    <xf numFmtId="0" fontId="37" fillId="9" borderId="23" xfId="0" applyFont="1" applyFill="1" applyBorder="1" applyAlignment="1"/>
    <xf numFmtId="0" fontId="1" fillId="0" borderId="0" xfId="0" applyFont="1"/>
    <xf numFmtId="0" fontId="42" fillId="0" borderId="0" xfId="0" applyFont="1"/>
    <xf numFmtId="44" fontId="0" fillId="0" borderId="0" xfId="0" applyNumberFormat="1"/>
    <xf numFmtId="0" fontId="43" fillId="0" borderId="0" xfId="0" applyFont="1"/>
    <xf numFmtId="0" fontId="44" fillId="0" borderId="0" xfId="0" applyFont="1"/>
    <xf numFmtId="0" fontId="45" fillId="0" borderId="0" xfId="0" applyFont="1"/>
    <xf numFmtId="0" fontId="38" fillId="0" borderId="14" xfId="0" applyFont="1" applyBorder="1" applyAlignment="1">
      <alignment horizontal="right" vertical="center"/>
    </xf>
    <xf numFmtId="0" fontId="38" fillId="0" borderId="23" xfId="0" applyFont="1" applyBorder="1" applyAlignment="1">
      <alignment horizontal="right" vertical="center"/>
    </xf>
    <xf numFmtId="44" fontId="38" fillId="0" borderId="14" xfId="0" applyNumberFormat="1" applyFont="1" applyBorder="1" applyAlignment="1">
      <alignment horizontal="right" vertical="center"/>
    </xf>
    <xf numFmtId="44" fontId="38" fillId="0" borderId="23" xfId="0" applyNumberFormat="1" applyFont="1" applyBorder="1" applyAlignment="1">
      <alignment horizontal="right" vertical="center"/>
    </xf>
    <xf numFmtId="44" fontId="38" fillId="0" borderId="12" xfId="0" applyNumberFormat="1" applyFont="1" applyBorder="1" applyAlignment="1">
      <alignment horizontal="right" vertical="center"/>
    </xf>
    <xf numFmtId="44" fontId="38" fillId="0" borderId="14" xfId="5" applyFont="1" applyBorder="1" applyAlignment="1">
      <alignment horizontal="right" vertical="center"/>
    </xf>
    <xf numFmtId="44" fontId="38" fillId="0" borderId="23" xfId="5" applyFont="1" applyBorder="1" applyAlignment="1">
      <alignment horizontal="right" vertical="center"/>
    </xf>
    <xf numFmtId="44" fontId="38" fillId="0" borderId="12" xfId="5" applyFont="1" applyBorder="1" applyAlignment="1">
      <alignment horizontal="right" vertical="center"/>
    </xf>
    <xf numFmtId="44" fontId="38" fillId="0" borderId="14" xfId="0" applyNumberFormat="1" applyFont="1" applyBorder="1" applyAlignment="1">
      <alignment horizontal="right"/>
    </xf>
    <xf numFmtId="44" fontId="38" fillId="0" borderId="23" xfId="0" applyNumberFormat="1" applyFont="1" applyBorder="1" applyAlignment="1">
      <alignment horizontal="right"/>
    </xf>
    <xf numFmtId="44" fontId="38" fillId="0" borderId="12" xfId="0" applyNumberFormat="1" applyFont="1" applyBorder="1" applyAlignment="1">
      <alignment horizontal="right"/>
    </xf>
    <xf numFmtId="3" fontId="38" fillId="0" borderId="14" xfId="0" applyNumberFormat="1" applyFont="1" applyBorder="1" applyAlignment="1">
      <alignment horizontal="right"/>
    </xf>
    <xf numFmtId="3" fontId="38" fillId="0" borderId="23" xfId="0" applyNumberFormat="1" applyFont="1" applyBorder="1" applyAlignment="1">
      <alignment horizontal="right"/>
    </xf>
    <xf numFmtId="0" fontId="11" fillId="0" borderId="0" xfId="0" applyFont="1" applyAlignment="1" applyProtection="1">
      <alignment vertical="top" wrapText="1"/>
    </xf>
    <xf numFmtId="0" fontId="15" fillId="0" borderId="0" xfId="3" applyAlignment="1" applyProtection="1">
      <alignment wrapText="1"/>
      <protection hidden="1"/>
    </xf>
    <xf numFmtId="0" fontId="11" fillId="0" borderId="0" xfId="0" applyFont="1" applyAlignment="1" applyProtection="1">
      <alignment vertical="center" wrapText="1"/>
    </xf>
    <xf numFmtId="9" fontId="0" fillId="0" borderId="0" xfId="4" applyFont="1"/>
    <xf numFmtId="3" fontId="0" fillId="0" borderId="0" xfId="0" applyNumberFormat="1"/>
    <xf numFmtId="9" fontId="0" fillId="0" borderId="0" xfId="4" applyNumberFormat="1" applyFont="1"/>
    <xf numFmtId="171" fontId="0" fillId="0" borderId="0" xfId="0" applyNumberFormat="1"/>
    <xf numFmtId="0" fontId="0" fillId="0" borderId="0" xfId="0" applyNumberFormat="1"/>
    <xf numFmtId="14" fontId="0" fillId="0" borderId="62" xfId="0" applyNumberFormat="1" applyBorder="1"/>
    <xf numFmtId="14" fontId="0" fillId="0" borderId="63" xfId="0" applyNumberFormat="1" applyBorder="1"/>
    <xf numFmtId="0" fontId="0" fillId="0" borderId="63" xfId="0" applyNumberFormat="1" applyBorder="1"/>
    <xf numFmtId="14" fontId="0" fillId="0" borderId="55" xfId="0" applyNumberFormat="1" applyBorder="1"/>
    <xf numFmtId="0" fontId="0" fillId="0" borderId="62" xfId="0" applyNumberFormat="1" applyBorder="1"/>
    <xf numFmtId="0" fontId="0" fillId="0" borderId="63" xfId="0" applyBorder="1"/>
    <xf numFmtId="0" fontId="0" fillId="0" borderId="55" xfId="0" applyNumberFormat="1" applyBorder="1"/>
    <xf numFmtId="0" fontId="0" fillId="0" borderId="0" xfId="0" applyAlignment="1">
      <alignment horizontal="left" indent="1"/>
    </xf>
    <xf numFmtId="2" fontId="0" fillId="0" borderId="0" xfId="5" applyNumberFormat="1" applyFont="1"/>
    <xf numFmtId="2" fontId="0" fillId="0" borderId="0" xfId="0" applyNumberFormat="1"/>
    <xf numFmtId="0" fontId="0" fillId="0" borderId="0" xfId="0" applyNumberFormat="1" applyAlignment="1">
      <alignment horizontal="left" indent="1"/>
    </xf>
    <xf numFmtId="1" fontId="0" fillId="0" borderId="0" xfId="0" applyNumberFormat="1"/>
    <xf numFmtId="14" fontId="29" fillId="9" borderId="14" xfId="0" applyNumberFormat="1" applyFont="1" applyFill="1" applyBorder="1" applyAlignment="1">
      <alignment horizontal="center" vertical="center" wrapText="1"/>
    </xf>
    <xf numFmtId="0" fontId="11" fillId="0" borderId="0" xfId="0" applyFont="1" applyAlignment="1" applyProtection="1">
      <alignment horizontal="left" vertical="top" wrapText="1"/>
      <protection hidden="1"/>
    </xf>
    <xf numFmtId="0" fontId="33" fillId="9" borderId="0" xfId="0" applyFont="1" applyFill="1" applyAlignment="1" applyProtection="1">
      <alignment horizontal="left" vertical="center" wrapText="1"/>
    </xf>
    <xf numFmtId="0" fontId="0" fillId="3" borderId="15" xfId="0" applyFill="1" applyBorder="1" applyAlignment="1" applyProtection="1">
      <alignment horizontal="left" vertical="center"/>
    </xf>
    <xf numFmtId="0" fontId="0" fillId="3" borderId="16" xfId="0" applyFill="1" applyBorder="1" applyAlignment="1" applyProtection="1">
      <alignment horizontal="left" vertical="center"/>
    </xf>
    <xf numFmtId="0" fontId="0" fillId="3" borderId="21" xfId="0" applyFill="1" applyBorder="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horizontal="left" vertical="center" wrapText="1"/>
      <protection hidden="1"/>
    </xf>
    <xf numFmtId="0" fontId="15" fillId="0" borderId="0" xfId="3" applyAlignment="1" applyProtection="1">
      <alignment horizontal="left" vertical="center" wrapText="1"/>
    </xf>
    <xf numFmtId="0" fontId="29" fillId="9" borderId="29" xfId="0" applyFont="1" applyFill="1" applyBorder="1" applyAlignment="1">
      <alignment horizontal="left" vertical="center"/>
    </xf>
    <xf numFmtId="0" fontId="29" fillId="9" borderId="14" xfId="0" applyFont="1" applyFill="1" applyBorder="1" applyAlignment="1">
      <alignment horizontal="left" vertical="center"/>
    </xf>
    <xf numFmtId="0" fontId="28" fillId="0" borderId="27" xfId="0" applyFont="1" applyBorder="1" applyAlignment="1" applyProtection="1">
      <alignment horizontal="center"/>
    </xf>
    <xf numFmtId="0" fontId="32" fillId="11" borderId="14" xfId="0" applyFont="1" applyFill="1" applyBorder="1" applyAlignment="1" applyProtection="1">
      <alignment horizontal="center"/>
      <protection locked="0"/>
    </xf>
    <xf numFmtId="0" fontId="32" fillId="11" borderId="30" xfId="0" applyFont="1" applyFill="1" applyBorder="1" applyAlignment="1" applyProtection="1">
      <alignment horizontal="center"/>
      <protection locked="0"/>
    </xf>
    <xf numFmtId="0" fontId="29" fillId="9" borderId="31" xfId="0" applyFont="1" applyFill="1" applyBorder="1" applyAlignment="1">
      <alignment horizontal="left" vertical="center"/>
    </xf>
    <xf numFmtId="0" fontId="29" fillId="9" borderId="32" xfId="0" applyFont="1" applyFill="1" applyBorder="1" applyAlignment="1">
      <alignment horizontal="left" vertical="center"/>
    </xf>
    <xf numFmtId="0" fontId="32" fillId="11" borderId="32" xfId="0" applyFont="1" applyFill="1" applyBorder="1" applyAlignment="1" applyProtection="1">
      <alignment horizontal="center"/>
      <protection locked="0"/>
    </xf>
    <xf numFmtId="0" fontId="32" fillId="11" borderId="33" xfId="0" applyFont="1" applyFill="1" applyBorder="1" applyAlignment="1" applyProtection="1">
      <alignment horizontal="center"/>
      <protection locked="0"/>
    </xf>
    <xf numFmtId="3" fontId="28" fillId="10" borderId="42" xfId="0" applyNumberFormat="1" applyFont="1" applyFill="1" applyBorder="1" applyAlignment="1" applyProtection="1">
      <alignment horizontal="center" vertical="center" wrapText="1"/>
      <protection locked="0"/>
    </xf>
    <xf numFmtId="3" fontId="28" fillId="10" borderId="32" xfId="0" applyNumberFormat="1" applyFont="1" applyFill="1" applyBorder="1" applyAlignment="1" applyProtection="1">
      <alignment horizontal="center" vertical="center" wrapText="1"/>
      <protection locked="0"/>
    </xf>
    <xf numFmtId="0" fontId="28" fillId="0" borderId="14" xfId="0" applyFont="1" applyBorder="1" applyAlignment="1" applyProtection="1">
      <alignment horizontal="center"/>
    </xf>
    <xf numFmtId="0" fontId="32" fillId="10" borderId="32" xfId="0" applyFont="1" applyFill="1" applyBorder="1" applyAlignment="1" applyProtection="1">
      <alignment horizontal="center"/>
      <protection locked="0"/>
    </xf>
    <xf numFmtId="0" fontId="32" fillId="10" borderId="43" xfId="0" applyFont="1" applyFill="1" applyBorder="1" applyAlignment="1" applyProtection="1">
      <alignment horizontal="center"/>
      <protection locked="0"/>
    </xf>
    <xf numFmtId="0" fontId="29" fillId="9" borderId="26" xfId="0" applyFont="1" applyFill="1" applyBorder="1" applyAlignment="1">
      <alignment horizontal="left" vertical="center"/>
    </xf>
    <xf numFmtId="0" fontId="29" fillId="9" borderId="27" xfId="0" applyFont="1" applyFill="1" applyBorder="1" applyAlignment="1">
      <alignment horizontal="left" vertical="center"/>
    </xf>
    <xf numFmtId="0" fontId="32" fillId="10" borderId="27" xfId="0" applyFont="1" applyFill="1" applyBorder="1" applyAlignment="1" applyProtection="1">
      <alignment horizontal="center"/>
      <protection locked="0"/>
    </xf>
    <xf numFmtId="0" fontId="32" fillId="10" borderId="28" xfId="0" applyFont="1" applyFill="1" applyBorder="1" applyAlignment="1" applyProtection="1">
      <alignment horizontal="center"/>
      <protection locked="0"/>
    </xf>
    <xf numFmtId="3" fontId="28" fillId="10" borderId="35" xfId="0" applyNumberFormat="1" applyFont="1" applyFill="1" applyBorder="1" applyAlignment="1" applyProtection="1">
      <alignment horizontal="center" vertical="center" wrapText="1"/>
      <protection locked="0"/>
    </xf>
    <xf numFmtId="3" fontId="28" fillId="10" borderId="14" xfId="0" applyNumberFormat="1" applyFont="1" applyFill="1" applyBorder="1" applyAlignment="1" applyProtection="1">
      <alignment horizontal="center" vertical="center" wrapText="1"/>
      <protection locked="0"/>
    </xf>
    <xf numFmtId="0" fontId="32" fillId="10" borderId="14" xfId="0" applyFont="1" applyFill="1" applyBorder="1" applyAlignment="1" applyProtection="1">
      <alignment horizontal="center"/>
      <protection locked="0"/>
    </xf>
    <xf numFmtId="0" fontId="32" fillId="10" borderId="23" xfId="0" applyFont="1" applyFill="1" applyBorder="1" applyAlignment="1" applyProtection="1">
      <alignment horizontal="center"/>
      <protection locked="0"/>
    </xf>
    <xf numFmtId="0" fontId="29" fillId="9" borderId="35" xfId="0" applyFont="1" applyFill="1" applyBorder="1" applyAlignment="1">
      <alignment horizontal="center" vertical="center" textRotation="90"/>
    </xf>
    <xf numFmtId="0" fontId="29" fillId="9" borderId="22" xfId="0" applyFont="1" applyFill="1" applyBorder="1" applyAlignment="1">
      <alignment horizontal="center" vertical="center" textRotation="90"/>
    </xf>
    <xf numFmtId="0" fontId="29" fillId="9" borderId="24" xfId="0" applyFont="1" applyFill="1" applyBorder="1" applyAlignment="1">
      <alignment horizontal="center" vertical="center" textRotation="90"/>
    </xf>
    <xf numFmtId="0" fontId="29" fillId="9" borderId="18" xfId="0" applyFont="1" applyFill="1" applyBorder="1" applyAlignment="1">
      <alignment horizontal="left" vertical="center"/>
    </xf>
    <xf numFmtId="0" fontId="29" fillId="9" borderId="44" xfId="0" applyFont="1" applyFill="1" applyBorder="1" applyAlignment="1">
      <alignment horizontal="left" vertical="center"/>
    </xf>
    <xf numFmtId="0" fontId="29" fillId="9" borderId="45" xfId="0" applyFont="1" applyFill="1" applyBorder="1" applyAlignment="1">
      <alignment horizontal="left" vertical="center"/>
    </xf>
    <xf numFmtId="0" fontId="29" fillId="9" borderId="25" xfId="0" applyFont="1" applyFill="1" applyBorder="1" applyAlignment="1">
      <alignment horizontal="center" vertical="center"/>
    </xf>
    <xf numFmtId="0" fontId="29" fillId="9" borderId="20" xfId="0" applyFont="1" applyFill="1" applyBorder="1" applyAlignment="1">
      <alignment horizontal="center" vertical="center"/>
    </xf>
    <xf numFmtId="0" fontId="29" fillId="9" borderId="34" xfId="0" applyFont="1" applyFill="1" applyBorder="1" applyAlignment="1">
      <alignment horizontal="center" vertical="center"/>
    </xf>
    <xf numFmtId="0" fontId="29" fillId="9" borderId="35" xfId="0" applyFont="1" applyFill="1" applyBorder="1" applyAlignment="1">
      <alignment horizontal="center" vertical="center"/>
    </xf>
    <xf numFmtId="0" fontId="29" fillId="9" borderId="14" xfId="0" applyFont="1" applyFill="1" applyBorder="1" applyAlignment="1">
      <alignment horizontal="center" vertical="center"/>
    </xf>
    <xf numFmtId="0" fontId="29" fillId="9" borderId="23" xfId="0" applyFont="1" applyFill="1" applyBorder="1" applyAlignment="1">
      <alignment horizontal="center" vertical="center"/>
    </xf>
    <xf numFmtId="0" fontId="29" fillId="9" borderId="12"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29" fillId="9" borderId="23" xfId="0" applyFont="1" applyFill="1" applyBorder="1" applyAlignment="1">
      <alignment horizontal="center" vertical="center" wrapText="1"/>
    </xf>
    <xf numFmtId="0" fontId="29" fillId="9" borderId="13" xfId="0" applyFont="1" applyFill="1" applyBorder="1" applyAlignment="1">
      <alignment horizontal="center" vertical="center"/>
    </xf>
    <xf numFmtId="0" fontId="1" fillId="2" borderId="51" xfId="0" applyFont="1" applyFill="1" applyBorder="1" applyAlignment="1">
      <alignment horizontal="left" vertical="top" wrapText="1"/>
    </xf>
    <xf numFmtId="0" fontId="0" fillId="2" borderId="52" xfId="0" applyFont="1" applyFill="1" applyBorder="1" applyAlignment="1">
      <alignment horizontal="left" vertical="top" wrapText="1"/>
    </xf>
    <xf numFmtId="0" fontId="0" fillId="2" borderId="53" xfId="0" applyFont="1" applyFill="1" applyBorder="1" applyAlignment="1">
      <alignment horizontal="left" vertical="top" wrapText="1"/>
    </xf>
    <xf numFmtId="0" fontId="29" fillId="9" borderId="47" xfId="0" applyFont="1" applyFill="1" applyBorder="1" applyAlignment="1">
      <alignment horizontal="center"/>
    </xf>
    <xf numFmtId="0" fontId="29" fillId="9" borderId="35" xfId="0" applyFont="1" applyFill="1" applyBorder="1" applyAlignment="1">
      <alignment horizontal="center"/>
    </xf>
    <xf numFmtId="0" fontId="29" fillId="9" borderId="48" xfId="0" applyFont="1" applyFill="1" applyBorder="1" applyAlignment="1">
      <alignment horizontal="center" vertical="center"/>
    </xf>
    <xf numFmtId="0" fontId="29" fillId="9" borderId="49" xfId="0" applyFont="1" applyFill="1" applyBorder="1" applyAlignment="1">
      <alignment horizontal="center" vertical="center" wrapText="1"/>
    </xf>
    <xf numFmtId="0" fontId="29" fillId="9" borderId="48" xfId="0" applyFont="1" applyFill="1" applyBorder="1" applyAlignment="1">
      <alignment horizontal="center" vertical="center" wrapText="1"/>
    </xf>
    <xf numFmtId="0" fontId="29" fillId="9" borderId="50"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8" xfId="0" applyFont="1" applyFill="1" applyBorder="1" applyAlignment="1">
      <alignment horizontal="center" vertical="center"/>
    </xf>
    <xf numFmtId="0" fontId="18" fillId="3" borderId="11" xfId="0" applyFont="1" applyFill="1" applyBorder="1" applyAlignment="1">
      <alignment horizontal="center" vertical="center"/>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8" fillId="3" borderId="10" xfId="0" applyFont="1" applyFill="1" applyBorder="1" applyAlignment="1">
      <alignment horizontal="left" vertical="center"/>
    </xf>
    <xf numFmtId="0" fontId="18" fillId="3" borderId="8" xfId="0" applyFont="1" applyFill="1" applyBorder="1" applyAlignment="1">
      <alignment horizontal="left" vertical="center"/>
    </xf>
    <xf numFmtId="0" fontId="18" fillId="3" borderId="11" xfId="0" applyFont="1" applyFill="1" applyBorder="1" applyAlignment="1">
      <alignment horizontal="left" vertical="center"/>
    </xf>
    <xf numFmtId="0" fontId="18" fillId="0" borderId="10" xfId="0" applyFont="1" applyBorder="1" applyAlignment="1">
      <alignment horizontal="left" vertical="center"/>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6" fillId="9" borderId="25" xfId="0" applyFont="1" applyFill="1" applyBorder="1" applyAlignment="1">
      <alignment horizontal="left"/>
    </xf>
    <xf numFmtId="0" fontId="16" fillId="9" borderId="20" xfId="0" applyFont="1" applyFill="1" applyBorder="1" applyAlignment="1">
      <alignment horizontal="left"/>
    </xf>
    <xf numFmtId="0" fontId="22" fillId="3" borderId="36" xfId="0" applyFont="1" applyFill="1" applyBorder="1" applyAlignment="1">
      <alignment horizontal="left"/>
    </xf>
    <xf numFmtId="0" fontId="22" fillId="3" borderId="17" xfId="0" applyFont="1" applyFill="1" applyBorder="1" applyAlignment="1">
      <alignment horizontal="left"/>
    </xf>
    <xf numFmtId="0" fontId="22" fillId="3" borderId="37" xfId="0" applyFont="1" applyFill="1" applyBorder="1" applyAlignment="1">
      <alignment horizontal="left"/>
    </xf>
    <xf numFmtId="0" fontId="0" fillId="0" borderId="0" xfId="0" applyAlignment="1">
      <alignment horizontal="left" wrapText="1"/>
    </xf>
    <xf numFmtId="0" fontId="37" fillId="9" borderId="25" xfId="0" applyFont="1" applyFill="1" applyBorder="1" applyAlignment="1">
      <alignment horizontal="left"/>
    </xf>
    <xf numFmtId="0" fontId="37" fillId="9" borderId="20" xfId="0" applyFont="1" applyFill="1" applyBorder="1" applyAlignment="1">
      <alignment horizontal="left"/>
    </xf>
    <xf numFmtId="0" fontId="47" fillId="0" borderId="0" xfId="0" applyFont="1" applyAlignment="1">
      <alignment horizontal="left" vertical="center" wrapText="1"/>
    </xf>
    <xf numFmtId="0" fontId="48" fillId="0" borderId="57" xfId="3" applyFont="1" applyBorder="1" applyAlignment="1">
      <alignment horizontal="left" vertical="center" wrapText="1"/>
    </xf>
    <xf numFmtId="0" fontId="37" fillId="9" borderId="60" xfId="0" applyFont="1" applyFill="1" applyBorder="1" applyAlignment="1">
      <alignment horizontal="left"/>
    </xf>
    <xf numFmtId="0" fontId="37" fillId="9" borderId="61" xfId="0" applyFont="1" applyFill="1" applyBorder="1" applyAlignment="1">
      <alignment horizontal="left"/>
    </xf>
    <xf numFmtId="0" fontId="37" fillId="9" borderId="54" xfId="0" applyFont="1" applyFill="1" applyBorder="1" applyAlignment="1">
      <alignment horizontal="left"/>
    </xf>
    <xf numFmtId="0" fontId="22" fillId="3" borderId="24" xfId="0" applyFont="1" applyFill="1" applyBorder="1" applyAlignment="1">
      <alignment horizontal="left"/>
    </xf>
    <xf numFmtId="0" fontId="22" fillId="3" borderId="58" xfId="0" applyFont="1" applyFill="1" applyBorder="1" applyAlignment="1">
      <alignment horizontal="left"/>
    </xf>
    <xf numFmtId="0" fontId="22" fillId="3" borderId="59" xfId="0" applyFont="1" applyFill="1" applyBorder="1" applyAlignment="1">
      <alignment horizontal="left"/>
    </xf>
    <xf numFmtId="0" fontId="16" fillId="9" borderId="54" xfId="0" applyFont="1" applyFill="1" applyBorder="1" applyAlignment="1">
      <alignment horizontal="left"/>
    </xf>
    <xf numFmtId="0" fontId="22" fillId="3" borderId="56" xfId="0" applyFont="1" applyFill="1" applyBorder="1" applyAlignment="1">
      <alignment horizontal="left"/>
    </xf>
    <xf numFmtId="0" fontId="4" fillId="0" borderId="0" xfId="1" applyFont="1" applyAlignment="1" applyProtection="1">
      <alignment horizontal="center" wrapText="1"/>
    </xf>
    <xf numFmtId="0" fontId="4" fillId="0" borderId="0" xfId="1" applyFont="1" applyAlignment="1" applyProtection="1">
      <alignment horizontal="center" vertical="top" wrapText="1"/>
      <protection locked="0"/>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6" xfId="1" applyFont="1" applyBorder="1" applyAlignment="1" applyProtection="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12" fillId="8" borderId="7" xfId="0" applyFont="1" applyFill="1" applyBorder="1" applyAlignment="1">
      <alignment horizontal="center"/>
    </xf>
    <xf numFmtId="0" fontId="0" fillId="8" borderId="7" xfId="0" applyFill="1" applyBorder="1" applyAlignment="1">
      <alignment horizontal="center"/>
    </xf>
    <xf numFmtId="0" fontId="0" fillId="8" borderId="10" xfId="0" applyFill="1" applyBorder="1" applyAlignment="1">
      <alignment horizontal="center"/>
    </xf>
    <xf numFmtId="0" fontId="0" fillId="8" borderId="8" xfId="0" applyFill="1" applyBorder="1" applyAlignment="1">
      <alignment horizontal="center"/>
    </xf>
    <xf numFmtId="0" fontId="0" fillId="8" borderId="11" xfId="0" applyFill="1" applyBorder="1" applyAlignment="1">
      <alignment horizontal="center"/>
    </xf>
  </cellXfs>
  <cellStyles count="6">
    <cellStyle name="Link" xfId="3" builtinId="8"/>
    <cellStyle name="Prozent" xfId="4" builtinId="5"/>
    <cellStyle name="Standard" xfId="0" builtinId="0"/>
    <cellStyle name="Standard_BeispielCO2Bilanz2003" xfId="1" xr:uid="{FE8433F6-E6B9-4A76-A2F3-371E0C704B7D}"/>
    <cellStyle name="Standard_ENERGIEE.XLS" xfId="2" xr:uid="{4D7F2276-279F-4552-B00B-3F5292AA70FB}"/>
    <cellStyle name="Währung" xfId="5" builtinId="4"/>
  </cellStyles>
  <dxfs count="0"/>
  <tableStyles count="0" defaultTableStyle="TableStyleMedium2" defaultPivotStyle="PivotStyleLight16"/>
  <colors>
    <mruColors>
      <color rgb="FF006CA6"/>
      <color rgb="FFA6BA30"/>
      <color rgb="FFF9CB07"/>
      <color rgb="FFC80000"/>
      <color rgb="FFCC0000"/>
      <color rgb="FFD3E088"/>
      <color rgb="FFFFFFA3"/>
      <color rgb="FF098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de-DE" sz="1400"/>
              <a:t>Entwicklung der jährlichen</a:t>
            </a:r>
            <a:r>
              <a:rPr lang="de-DE" sz="1400" baseline="0"/>
              <a:t> Netto - Zusatzkosten</a:t>
            </a:r>
            <a:r>
              <a:rPr lang="de-DE" sz="1400"/>
              <a:t> aller Liegenschaften/Fuhrparks</a:t>
            </a:r>
          </a:p>
        </c:rich>
      </c:tx>
      <c:layout>
        <c:manualLayout>
          <c:xMode val="edge"/>
          <c:yMode val="edge"/>
          <c:x val="0.18785765912151162"/>
          <c:y val="2.143137584184102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0324052711375855E-2"/>
          <c:y val="0.19613057583206644"/>
          <c:w val="0.94959305301020169"/>
          <c:h val="0.705995305141781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(CO2_Bepreisungsrechner!$E$3:$I$3,CO2_Bepreisungsrechner!$J$3:$N$3)</c:f>
              <c:strCache>
                <c:ptCount val="10"/>
                <c:pt idx="0">
                  <c:v>2025
</c:v>
                </c:pt>
                <c:pt idx="1">
                  <c:v>2026
</c:v>
                </c:pt>
                <c:pt idx="2">
                  <c:v>2027
</c:v>
                </c:pt>
                <c:pt idx="3">
                  <c:v>2028
</c:v>
                </c:pt>
                <c:pt idx="4">
                  <c:v>2029
</c:v>
                </c:pt>
                <c:pt idx="5">
                  <c:v>2030
</c:v>
                </c:pt>
                <c:pt idx="6">
                  <c:v>2031
</c:v>
                </c:pt>
                <c:pt idx="7">
                  <c:v>2032
</c:v>
                </c:pt>
                <c:pt idx="8">
                  <c:v>2033
</c:v>
                </c:pt>
                <c:pt idx="9">
                  <c:v>2034
</c:v>
                </c:pt>
              </c:strCache>
            </c:strRef>
          </c:cat>
          <c:val>
            <c:numRef>
              <c:f>(CO2_Bepreisungsrechner!$E$16:$I$16,CO2_Bepreisungsrechner!$J$16:$N$16)</c:f>
              <c:numCache>
                <c:formatCode>#,##0\ </c:formatCode>
                <c:ptCount val="10"/>
                <c:pt idx="0">
                  <c:v>4981.6401468788263</c:v>
                </c:pt>
                <c:pt idx="1">
                  <c:v>5887.3929008567939</c:v>
                </c:pt>
                <c:pt idx="2">
                  <c:v>5887.3929008567939</c:v>
                </c:pt>
                <c:pt idx="3">
                  <c:v>5887.3929008567939</c:v>
                </c:pt>
                <c:pt idx="4">
                  <c:v>5887.3929008567939</c:v>
                </c:pt>
                <c:pt idx="5">
                  <c:v>5887.3929008567939</c:v>
                </c:pt>
                <c:pt idx="6">
                  <c:v>5887.3929008567939</c:v>
                </c:pt>
                <c:pt idx="7">
                  <c:v>5887.3929008567939</c:v>
                </c:pt>
                <c:pt idx="8">
                  <c:v>5887.3929008567939</c:v>
                </c:pt>
                <c:pt idx="9">
                  <c:v>5887.3929008567939</c:v>
                </c:pt>
              </c:numCache>
            </c:numRef>
          </c:val>
          <c:extLst>
            <c:ext xmlns:c16="http://schemas.microsoft.com/office/drawing/2014/chart" uri="{C3380CC4-5D6E-409C-BE32-E72D297353CC}">
              <c16:uniqueId val="{00000000-D9EB-4C81-8111-F2164A204F53}"/>
            </c:ext>
          </c:extLst>
        </c:ser>
        <c:dLbls>
          <c:showLegendKey val="0"/>
          <c:showVal val="0"/>
          <c:showCatName val="0"/>
          <c:showSerName val="0"/>
          <c:showPercent val="0"/>
          <c:showBubbleSize val="0"/>
        </c:dLbls>
        <c:gapWidth val="219"/>
        <c:overlap val="-27"/>
        <c:axId val="517174608"/>
        <c:axId val="517174280"/>
      </c:barChart>
      <c:catAx>
        <c:axId val="517174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17174280"/>
        <c:crosses val="autoZero"/>
        <c:auto val="1"/>
        <c:lblAlgn val="ctr"/>
        <c:lblOffset val="100"/>
        <c:noMultiLvlLbl val="0"/>
      </c:catAx>
      <c:valAx>
        <c:axId val="51717428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7174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Zusatzkosten durch CO</a:t>
            </a:r>
            <a:r>
              <a:rPr lang="en-US" sz="2000" baseline="-25000"/>
              <a:t>2</a:t>
            </a:r>
            <a:r>
              <a:rPr lang="en-US" sz="2000"/>
              <a:t>-Bepreisung [€/10a]*</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Beispiele_Wohngebäude!$B$6</c:f>
              <c:strCache>
                <c:ptCount val="1"/>
                <c:pt idx="0">
                  <c:v>Zusatzkosten durch CO2-Bepreisung [€/10a]</c:v>
                </c:pt>
              </c:strCache>
            </c:strRef>
          </c:tx>
          <c:spPr>
            <a:solidFill>
              <a:schemeClr val="accent1"/>
            </a:solidFill>
            <a:ln>
              <a:noFill/>
            </a:ln>
            <a:effectLst/>
          </c:spPr>
          <c:invertIfNegative val="0"/>
          <c:dPt>
            <c:idx val="0"/>
            <c:invertIfNegative val="0"/>
            <c:bubble3D val="0"/>
            <c:spPr>
              <a:solidFill>
                <a:srgbClr val="D3E088"/>
              </a:solidFill>
              <a:ln>
                <a:noFill/>
              </a:ln>
              <a:effectLst/>
            </c:spPr>
            <c:extLst>
              <c:ext xmlns:c16="http://schemas.microsoft.com/office/drawing/2014/chart" uri="{C3380CC4-5D6E-409C-BE32-E72D297353CC}">
                <c16:uniqueId val="{00000001-C82C-4FC8-809F-8FB7A6B5071A}"/>
              </c:ext>
            </c:extLst>
          </c:dPt>
          <c:dPt>
            <c:idx val="1"/>
            <c:invertIfNegative val="0"/>
            <c:bubble3D val="0"/>
            <c:spPr>
              <a:solidFill>
                <a:srgbClr val="A6BA30"/>
              </a:solidFill>
              <a:ln>
                <a:noFill/>
              </a:ln>
              <a:effectLst/>
            </c:spPr>
            <c:extLst>
              <c:ext xmlns:c16="http://schemas.microsoft.com/office/drawing/2014/chart" uri="{C3380CC4-5D6E-409C-BE32-E72D297353CC}">
                <c16:uniqueId val="{00000003-C82C-4FC8-809F-8FB7A6B5071A}"/>
              </c:ext>
            </c:extLst>
          </c:dPt>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5-C82C-4FC8-809F-8FB7A6B5071A}"/>
              </c:ext>
            </c:extLst>
          </c:dPt>
          <c:dPt>
            <c:idx val="3"/>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7-C82C-4FC8-809F-8FB7A6B507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Beispiele_Wohngebäude!$C$3:$F$3</c:f>
              <c:strCache>
                <c:ptCount val="4"/>
                <c:pt idx="0">
                  <c:v>KfW55</c:v>
                </c:pt>
                <c:pt idx="1">
                  <c:v>KfW 70</c:v>
                </c:pt>
                <c:pt idx="2">
                  <c:v>Durchschnitt
Bestand Wohng. </c:v>
                </c:pt>
                <c:pt idx="3">
                  <c:v>EFH nicht saniert</c:v>
                </c:pt>
              </c:strCache>
            </c:strRef>
          </c:cat>
          <c:val>
            <c:numRef>
              <c:f>Beispiele_Wohngebäude!$C$6:$F$6</c:f>
              <c:numCache>
                <c:formatCode>_("€"* #,##0.00_);_("€"* \(#,##0.00\);_("€"* "-"??_);_(@_)</c:formatCode>
                <c:ptCount val="4"/>
                <c:pt idx="0">
                  <c:v>453</c:v>
                </c:pt>
                <c:pt idx="1">
                  <c:v>583</c:v>
                </c:pt>
                <c:pt idx="2">
                  <c:v>1943</c:v>
                </c:pt>
                <c:pt idx="3">
                  <c:v>2915</c:v>
                </c:pt>
              </c:numCache>
            </c:numRef>
          </c:val>
          <c:extLst>
            <c:ext xmlns:c16="http://schemas.microsoft.com/office/drawing/2014/chart" uri="{C3380CC4-5D6E-409C-BE32-E72D297353CC}">
              <c16:uniqueId val="{00000008-C82C-4FC8-809F-8FB7A6B5071A}"/>
            </c:ext>
          </c:extLst>
        </c:ser>
        <c:dLbls>
          <c:dLblPos val="outEnd"/>
          <c:showLegendKey val="0"/>
          <c:showVal val="1"/>
          <c:showCatName val="0"/>
          <c:showSerName val="0"/>
          <c:showPercent val="0"/>
          <c:showBubbleSize val="0"/>
        </c:dLbls>
        <c:gapWidth val="182"/>
        <c:axId val="435426568"/>
        <c:axId val="435423616"/>
      </c:barChart>
      <c:catAx>
        <c:axId val="435426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435423616"/>
        <c:crosses val="autoZero"/>
        <c:auto val="1"/>
        <c:lblAlgn val="ctr"/>
        <c:lblOffset val="100"/>
        <c:noMultiLvlLbl val="0"/>
      </c:catAx>
      <c:valAx>
        <c:axId val="4354236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[€/10a]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5426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Auswirkungen</a:t>
            </a:r>
            <a:r>
              <a:rPr lang="de-DE" baseline="0"/>
              <a:t> des CO2 - Preises auf verschiedene Energieträger</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Preisauswirkungen!$A$5</c:f>
              <c:strCache>
                <c:ptCount val="1"/>
                <c:pt idx="0">
                  <c:v>Heizöl Leicht [l]</c:v>
                </c:pt>
              </c:strCache>
            </c:strRef>
          </c:tx>
          <c:spPr>
            <a:ln w="28575" cap="rnd">
              <a:solidFill>
                <a:srgbClr val="A6BA30"/>
              </a:solidFill>
              <a:round/>
            </a:ln>
            <a:effectLst/>
          </c:spPr>
          <c:marker>
            <c:symbol val="none"/>
          </c:marker>
          <c:cat>
            <c:strRef>
              <c:f>Preisauswirkungen!$E$4:$N$4</c:f>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f>Preisauswirkungen!$E$5:$N$5</c:f>
              <c:numCache>
                <c:formatCode>0.0</c:formatCode>
                <c:ptCount val="10"/>
                <c:pt idx="0">
                  <c:v>15.530995752033986</c:v>
                </c:pt>
                <c:pt idx="1">
                  <c:v>18.354813161494711</c:v>
                </c:pt>
                <c:pt idx="2">
                  <c:v>18.354813161494711</c:v>
                </c:pt>
                <c:pt idx="3">
                  <c:v>18.354813161494711</c:v>
                </c:pt>
                <c:pt idx="4">
                  <c:v>18.354813161494711</c:v>
                </c:pt>
                <c:pt idx="5">
                  <c:v>18.354813161494711</c:v>
                </c:pt>
                <c:pt idx="6">
                  <c:v>18.354813161494711</c:v>
                </c:pt>
                <c:pt idx="7">
                  <c:v>18.354813161494711</c:v>
                </c:pt>
                <c:pt idx="8">
                  <c:v>18.354813161494711</c:v>
                </c:pt>
                <c:pt idx="9">
                  <c:v>18.354813161494711</c:v>
                </c:pt>
              </c:numCache>
            </c:numRef>
          </c:val>
          <c:smooth val="0"/>
          <c:extLst>
            <c:ext xmlns:c16="http://schemas.microsoft.com/office/drawing/2014/chart" uri="{C3380CC4-5D6E-409C-BE32-E72D297353CC}">
              <c16:uniqueId val="{00000000-24E3-4224-91C9-D26EF50097C2}"/>
            </c:ext>
          </c:extLst>
        </c:ser>
        <c:dLbls>
          <c:showLegendKey val="0"/>
          <c:showVal val="0"/>
          <c:showCatName val="0"/>
          <c:showSerName val="0"/>
          <c:showPercent val="0"/>
          <c:showBubbleSize val="0"/>
        </c:dLbls>
        <c:marker val="1"/>
        <c:smooth val="0"/>
        <c:axId val="454969304"/>
        <c:axId val="454962088"/>
        <c:extLst>
          <c:ext xmlns:c15="http://schemas.microsoft.com/office/drawing/2012/chart" uri="{02D57815-91ED-43cb-92C2-25804820EDAC}">
            <c15:filteredLineSeries>
              <c15:ser>
                <c:idx val="2"/>
                <c:order val="2"/>
                <c:tx>
                  <c:strRef>
                    <c:extLst>
                      <c:ext uri="{02D57815-91ED-43cb-92C2-25804820EDAC}">
                        <c15:formulaRef>
                          <c15:sqref>Preisauswirkungen!$A$12</c15:sqref>
                        </c15:formulaRef>
                      </c:ext>
                    </c:extLst>
                    <c:strCache>
                      <c:ptCount val="1"/>
                      <c:pt idx="0">
                        <c:v>Diesel [l]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Preisauswirkungen!$E$4:$N$4</c15:sqref>
                        </c15:formulaRef>
                      </c:ext>
                    </c:extLst>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extLst>
                      <c:ext uri="{02D57815-91ED-43cb-92C2-25804820EDAC}">
                        <c15:formulaRef>
                          <c15:sqref>Preisauswirkungen!$E$12:$N$12</c15:sqref>
                        </c15:formulaRef>
                      </c:ext>
                    </c:extLst>
                    <c:numCache>
                      <c:formatCode>0.0</c:formatCode>
                      <c:ptCount val="10"/>
                      <c:pt idx="0">
                        <c:v>15.61890704874361</c:v>
                      </c:pt>
                      <c:pt idx="1">
                        <c:v>18.458708330333359</c:v>
                      </c:pt>
                      <c:pt idx="2">
                        <c:v>18.458708330333359</c:v>
                      </c:pt>
                      <c:pt idx="3">
                        <c:v>18.458708330333359</c:v>
                      </c:pt>
                      <c:pt idx="4">
                        <c:v>18.458708330333359</c:v>
                      </c:pt>
                      <c:pt idx="5">
                        <c:v>18.458708330333359</c:v>
                      </c:pt>
                      <c:pt idx="6">
                        <c:v>18.458708330333359</c:v>
                      </c:pt>
                      <c:pt idx="7">
                        <c:v>18.458708330333359</c:v>
                      </c:pt>
                      <c:pt idx="8">
                        <c:v>18.458708330333359</c:v>
                      </c:pt>
                      <c:pt idx="9">
                        <c:v>18.458708330333359</c:v>
                      </c:pt>
                    </c:numCache>
                  </c:numRef>
                </c:val>
                <c:smooth val="0"/>
                <c:extLst>
                  <c:ext xmlns:c16="http://schemas.microsoft.com/office/drawing/2014/chart" uri="{C3380CC4-5D6E-409C-BE32-E72D297353CC}">
                    <c16:uniqueId val="{00000002-24E3-4224-91C9-D26EF50097C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Preisauswirkungen!$A$14</c15:sqref>
                        </c15:formulaRef>
                      </c:ext>
                    </c:extLst>
                    <c:strCache>
                      <c:ptCount val="1"/>
                      <c:pt idx="0">
                        <c:v>Benzin Super [l]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Preisauswirkungen!$E$4:$N$4</c15:sqref>
                        </c15:formulaRef>
                      </c:ext>
                    </c:extLst>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extLst xmlns:c15="http://schemas.microsoft.com/office/drawing/2012/chart">
                      <c:ext xmlns:c15="http://schemas.microsoft.com/office/drawing/2012/chart" uri="{02D57815-91ED-43cb-92C2-25804820EDAC}">
                        <c15:formulaRef>
                          <c15:sqref>Preisauswirkungen!$E$14:$N$14</c15:sqref>
                        </c15:formulaRef>
                      </c:ext>
                    </c:extLst>
                    <c:numCache>
                      <c:formatCode>0.0</c:formatCode>
                      <c:ptCount val="10"/>
                      <c:pt idx="0">
                        <c:v>14.397177622579019</c:v>
                      </c:pt>
                      <c:pt idx="1">
                        <c:v>17.014846281229751</c:v>
                      </c:pt>
                      <c:pt idx="2">
                        <c:v>17.014846281229751</c:v>
                      </c:pt>
                      <c:pt idx="3">
                        <c:v>17.014846281229751</c:v>
                      </c:pt>
                      <c:pt idx="4">
                        <c:v>17.014846281229751</c:v>
                      </c:pt>
                      <c:pt idx="5">
                        <c:v>17.014846281229751</c:v>
                      </c:pt>
                      <c:pt idx="6">
                        <c:v>17.014846281229751</c:v>
                      </c:pt>
                      <c:pt idx="7">
                        <c:v>17.014846281229751</c:v>
                      </c:pt>
                      <c:pt idx="8">
                        <c:v>17.014846281229751</c:v>
                      </c:pt>
                      <c:pt idx="9">
                        <c:v>17.014846281229751</c:v>
                      </c:pt>
                    </c:numCache>
                  </c:numRef>
                </c:val>
                <c:smooth val="0"/>
                <c:extLst xmlns:c15="http://schemas.microsoft.com/office/drawing/2012/chart">
                  <c:ext xmlns:c16="http://schemas.microsoft.com/office/drawing/2014/chart" uri="{C3380CC4-5D6E-409C-BE32-E72D297353CC}">
                    <c16:uniqueId val="{00000003-24E3-4224-91C9-D26EF50097C2}"/>
                  </c:ext>
                </c:extLst>
              </c15:ser>
            </c15:filteredLineSeries>
          </c:ext>
        </c:extLst>
      </c:lineChart>
      <c:lineChart>
        <c:grouping val="standard"/>
        <c:varyColors val="0"/>
        <c:ser>
          <c:idx val="1"/>
          <c:order val="1"/>
          <c:tx>
            <c:strRef>
              <c:f>Preisauswirkungen!$A$7</c:f>
              <c:strCache>
                <c:ptCount val="1"/>
                <c:pt idx="0">
                  <c:v>Erdgas [kWh]</c:v>
                </c:pt>
              </c:strCache>
            </c:strRef>
          </c:tx>
          <c:spPr>
            <a:ln w="28575" cap="rnd">
              <a:solidFill>
                <a:srgbClr val="006CA6"/>
              </a:solidFill>
              <a:round/>
            </a:ln>
            <a:effectLst/>
          </c:spPr>
          <c:marker>
            <c:symbol val="none"/>
          </c:marker>
          <c:cat>
            <c:strRef>
              <c:f>Preisauswirkungen!$E$4:$N$4</c:f>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f>Preisauswirkungen!$E$7:$N$7</c:f>
              <c:numCache>
                <c:formatCode>0.0</c:formatCode>
                <c:ptCount val="10"/>
                <c:pt idx="0">
                  <c:v>1.1053499110035556</c:v>
                </c:pt>
                <c:pt idx="1">
                  <c:v>1.3063226220951112</c:v>
                </c:pt>
                <c:pt idx="2">
                  <c:v>1.3063226220951112</c:v>
                </c:pt>
                <c:pt idx="3">
                  <c:v>1.3063226220951112</c:v>
                </c:pt>
                <c:pt idx="4">
                  <c:v>1.3063226220951112</c:v>
                </c:pt>
                <c:pt idx="5">
                  <c:v>1.3063226220951112</c:v>
                </c:pt>
                <c:pt idx="6">
                  <c:v>1.3063226220951112</c:v>
                </c:pt>
                <c:pt idx="7">
                  <c:v>1.3063226220951112</c:v>
                </c:pt>
                <c:pt idx="8">
                  <c:v>1.3063226220951112</c:v>
                </c:pt>
                <c:pt idx="9">
                  <c:v>1.3063226220951112</c:v>
                </c:pt>
              </c:numCache>
            </c:numRef>
          </c:val>
          <c:smooth val="0"/>
          <c:extLst>
            <c:ext xmlns:c16="http://schemas.microsoft.com/office/drawing/2014/chart" uri="{C3380CC4-5D6E-409C-BE32-E72D297353CC}">
              <c16:uniqueId val="{00000001-24E3-4224-91C9-D26EF50097C2}"/>
            </c:ext>
          </c:extLst>
        </c:ser>
        <c:dLbls>
          <c:showLegendKey val="0"/>
          <c:showVal val="0"/>
          <c:showCatName val="0"/>
          <c:showSerName val="0"/>
          <c:showPercent val="0"/>
          <c:showBubbleSize val="0"/>
        </c:dLbls>
        <c:marker val="1"/>
        <c:smooth val="0"/>
        <c:axId val="625303328"/>
        <c:axId val="625290864"/>
      </c:lineChart>
      <c:catAx>
        <c:axId val="4549693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Preis pro Jahr in Euro pro Tonne</a:t>
                </a:r>
                <a:endParaRPr lang="de-D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0" i="0" u="none" strike="noStrike" kern="1200" baseline="0">
                <a:solidFill>
                  <a:schemeClr val="tx1">
                    <a:lumMod val="65000"/>
                    <a:lumOff val="35000"/>
                  </a:schemeClr>
                </a:solidFill>
                <a:latin typeface="+mn-lt"/>
                <a:ea typeface="+mn-ea"/>
                <a:cs typeface="+mn-cs"/>
              </a:defRPr>
            </a:pPr>
            <a:endParaRPr lang="de-DE"/>
          </a:p>
        </c:txPr>
        <c:crossAx val="454962088"/>
        <c:crosses val="autoZero"/>
        <c:auto val="0"/>
        <c:lblAlgn val="ctr"/>
        <c:lblOffset val="100"/>
        <c:noMultiLvlLbl val="0"/>
      </c:catAx>
      <c:valAx>
        <c:axId val="454962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Aufpreis pro Liter Heizöl in Cent </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4969304"/>
        <c:crosses val="autoZero"/>
        <c:crossBetween val="between"/>
      </c:valAx>
      <c:valAx>
        <c:axId val="625290864"/>
        <c:scaling>
          <c:orientation val="minMax"/>
          <c:max val="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Aufpreis pro Kilowattstunde Erdgas in Cent</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5303328"/>
        <c:crosses val="max"/>
        <c:crossBetween val="between"/>
      </c:valAx>
      <c:catAx>
        <c:axId val="625303328"/>
        <c:scaling>
          <c:orientation val="minMax"/>
        </c:scaling>
        <c:delete val="1"/>
        <c:axPos val="b"/>
        <c:numFmt formatCode="General" sourceLinked="1"/>
        <c:majorTickMark val="out"/>
        <c:minorTickMark val="none"/>
        <c:tickLblPos val="nextTo"/>
        <c:crossAx val="6252908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Zusatz</a:t>
            </a:r>
            <a:r>
              <a:rPr lang="de-DE" baseline="0"/>
              <a:t>kosten durch CO2 - Preis in den nächsten 20 Jahren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Niedrigpreis Szenario</c:v>
          </c:tx>
          <c:spPr>
            <a:solidFill>
              <a:schemeClr val="accent1"/>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Grafik!$B$27:$U$27</c:f>
              <c:numCache>
                <c:formatCode>_-* #,##0.00\ [$€-407]_-;\-* #,##0.00\ [$€-407]_-;_-* "-"??\ [$€-407]_-;_-@_-</c:formatCode>
                <c:ptCount val="20"/>
                <c:pt idx="0">
                  <c:v>2798.1430565277278</c:v>
                </c:pt>
                <c:pt idx="1">
                  <c:v>6218.0956811727283</c:v>
                </c:pt>
                <c:pt idx="2">
                  <c:v>10259.857873935001</c:v>
                </c:pt>
                <c:pt idx="3">
                  <c:v>14301.620066697275</c:v>
                </c:pt>
                <c:pt idx="4">
                  <c:v>18343.382259459548</c:v>
                </c:pt>
                <c:pt idx="5">
                  <c:v>22385.144452221823</c:v>
                </c:pt>
                <c:pt idx="6">
                  <c:v>26426.906644984098</c:v>
                </c:pt>
                <c:pt idx="7">
                  <c:v>30468.668837746372</c:v>
                </c:pt>
                <c:pt idx="8">
                  <c:v>34510.431030508647</c:v>
                </c:pt>
                <c:pt idx="9">
                  <c:v>38552.193223270922</c:v>
                </c:pt>
                <c:pt idx="10">
                  <c:v>42593.955416033197</c:v>
                </c:pt>
                <c:pt idx="11">
                  <c:v>46635.717608795472</c:v>
                </c:pt>
                <c:pt idx="12">
                  <c:v>50677.479801557747</c:v>
                </c:pt>
                <c:pt idx="13">
                  <c:v>54719.241994320022</c:v>
                </c:pt>
                <c:pt idx="14">
                  <c:v>58761.004187082297</c:v>
                </c:pt>
                <c:pt idx="15">
                  <c:v>62802.766379844572</c:v>
                </c:pt>
                <c:pt idx="16">
                  <c:v>66844.52857260684</c:v>
                </c:pt>
                <c:pt idx="17">
                  <c:v>70886.290765369107</c:v>
                </c:pt>
                <c:pt idx="18">
                  <c:v>74928.052958131375</c:v>
                </c:pt>
                <c:pt idx="19">
                  <c:v>78969.815150893643</c:v>
                </c:pt>
              </c:numCache>
            </c:numRef>
          </c:val>
          <c:extLst>
            <c:ext xmlns:c16="http://schemas.microsoft.com/office/drawing/2014/chart" uri="{C3380CC4-5D6E-409C-BE32-E72D297353CC}">
              <c16:uniqueId val="{00000000-C30C-48CE-BC76-9BD0F854D73C}"/>
            </c:ext>
          </c:extLst>
        </c:ser>
        <c:ser>
          <c:idx val="1"/>
          <c:order val="1"/>
          <c:tx>
            <c:v>Moderater Anstieg (100 € bis 2044)</c:v>
          </c:tx>
          <c:spPr>
            <a:solidFill>
              <a:schemeClr val="accent2"/>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Grafik!$B$31:$U$31</c:f>
              <c:numCache>
                <c:formatCode>_("€"* #,##0.00_);_("€"* \(#,##0.00\);_("€"* "-"??_);_(@_)</c:formatCode>
                <c:ptCount val="20"/>
                <c:pt idx="0">
                  <c:v>2798.1430565277278</c:v>
                </c:pt>
                <c:pt idx="1">
                  <c:v>6218.0956811727283</c:v>
                </c:pt>
                <c:pt idx="2">
                  <c:v>10259.857873935001</c:v>
                </c:pt>
                <c:pt idx="3">
                  <c:v>14422.527482720077</c:v>
                </c:pt>
                <c:pt idx="4">
                  <c:v>18706.104507527958</c:v>
                </c:pt>
                <c:pt idx="5">
                  <c:v>23110.588948358643</c:v>
                </c:pt>
                <c:pt idx="6">
                  <c:v>27635.98080521213</c:v>
                </c:pt>
                <c:pt idx="7">
                  <c:v>32282.280078088421</c:v>
                </c:pt>
                <c:pt idx="8">
                  <c:v>37049.486766987509</c:v>
                </c:pt>
                <c:pt idx="9">
                  <c:v>41937.600871909402</c:v>
                </c:pt>
                <c:pt idx="10">
                  <c:v>46946.6223928541</c:v>
                </c:pt>
                <c:pt idx="11">
                  <c:v>52076.551329821603</c:v>
                </c:pt>
                <c:pt idx="12">
                  <c:v>57327.38768281191</c:v>
                </c:pt>
                <c:pt idx="13">
                  <c:v>62699.131451825015</c:v>
                </c:pt>
                <c:pt idx="14">
                  <c:v>68191.782636860924</c:v>
                </c:pt>
                <c:pt idx="15">
                  <c:v>73805.341237919638</c:v>
                </c:pt>
                <c:pt idx="16">
                  <c:v>79539.807255001157</c:v>
                </c:pt>
                <c:pt idx="17">
                  <c:v>85395.18068810548</c:v>
                </c:pt>
                <c:pt idx="18">
                  <c:v>91371.461537232608</c:v>
                </c:pt>
                <c:pt idx="19">
                  <c:v>97468.649802382526</c:v>
                </c:pt>
              </c:numCache>
            </c:numRef>
          </c:val>
          <c:extLst>
            <c:ext xmlns:c16="http://schemas.microsoft.com/office/drawing/2014/chart" uri="{C3380CC4-5D6E-409C-BE32-E72D297353CC}">
              <c16:uniqueId val="{00000002-C30C-48CE-BC76-9BD0F854D73C}"/>
            </c:ext>
          </c:extLst>
        </c:ser>
        <c:ser>
          <c:idx val="2"/>
          <c:order val="2"/>
          <c:tx>
            <c:v>starker Anstieg (300 € bis 2044)</c:v>
          </c:tx>
          <c:spPr>
            <a:solidFill>
              <a:schemeClr val="accent3"/>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Grafik!$B$35:$U$35</c:f>
              <c:numCache>
                <c:formatCode>_("€"* #,##0.00_);_("€"* \(#,##0.00\);_("€"* "-"??_);_(@_)</c:formatCode>
                <c:ptCount val="20"/>
                <c:pt idx="0">
                  <c:v>2798.1430565277278</c:v>
                </c:pt>
                <c:pt idx="1">
                  <c:v>6218.0956811727283</c:v>
                </c:pt>
                <c:pt idx="2">
                  <c:v>10259.857873935001</c:v>
                </c:pt>
                <c:pt idx="3">
                  <c:v>15113.427002850382</c:v>
                </c:pt>
                <c:pt idx="4">
                  <c:v>20778.803067918867</c:v>
                </c:pt>
                <c:pt idx="5">
                  <c:v>27255.986069140461</c:v>
                </c:pt>
                <c:pt idx="6">
                  <c:v>34544.976006515164</c:v>
                </c:pt>
                <c:pt idx="7">
                  <c:v>42645.772880042969</c:v>
                </c:pt>
                <c:pt idx="8">
                  <c:v>51558.376689723882</c:v>
                </c:pt>
                <c:pt idx="9">
                  <c:v>61282.787435557897</c:v>
                </c:pt>
                <c:pt idx="10">
                  <c:v>71819.005117545021</c:v>
                </c:pt>
                <c:pt idx="11">
                  <c:v>83167.029735685239</c:v>
                </c:pt>
                <c:pt idx="12">
                  <c:v>95326.861289978566</c:v>
                </c:pt>
                <c:pt idx="13">
                  <c:v>108298.499780425</c:v>
                </c:pt>
                <c:pt idx="14">
                  <c:v>122081.94520702455</c:v>
                </c:pt>
                <c:pt idx="15">
                  <c:v>136677.1975697772</c:v>
                </c:pt>
                <c:pt idx="16">
                  <c:v>152084.25686868295</c:v>
                </c:pt>
                <c:pt idx="17">
                  <c:v>168303.12310374182</c:v>
                </c:pt>
                <c:pt idx="18">
                  <c:v>185333.79627495378</c:v>
                </c:pt>
                <c:pt idx="19">
                  <c:v>203176.27638231884</c:v>
                </c:pt>
              </c:numCache>
            </c:numRef>
          </c:val>
          <c:extLst>
            <c:ext xmlns:c16="http://schemas.microsoft.com/office/drawing/2014/chart" uri="{C3380CC4-5D6E-409C-BE32-E72D297353CC}">
              <c16:uniqueId val="{00000003-C30C-48CE-BC76-9BD0F854D73C}"/>
            </c:ext>
          </c:extLst>
        </c:ser>
        <c:dLbls>
          <c:showLegendKey val="0"/>
          <c:showVal val="0"/>
          <c:showCatName val="0"/>
          <c:showSerName val="0"/>
          <c:showPercent val="0"/>
          <c:showBubbleSize val="0"/>
        </c:dLbls>
        <c:gapWidth val="219"/>
        <c:overlap val="-27"/>
        <c:axId val="721374752"/>
        <c:axId val="721378360"/>
        <c:extLst>
          <c:ext xmlns:c15="http://schemas.microsoft.com/office/drawing/2012/chart" uri="{02D57815-91ED-43cb-92C2-25804820EDAC}">
            <c15:filteredBarSeries>
              <c15:ser>
                <c:idx val="3"/>
                <c:order val="3"/>
                <c:tx>
                  <c:v>Nidriegpreisszenario</c:v>
                </c:tx>
                <c:spPr>
                  <a:solidFill>
                    <a:schemeClr val="accent4"/>
                  </a:solidFill>
                  <a:ln>
                    <a:noFill/>
                  </a:ln>
                  <a:effectLst/>
                </c:spPr>
                <c:invertIfNegative val="0"/>
                <c:val>
                  <c:numRef>
                    <c:extLst>
                      <c:ext uri="{02D57815-91ED-43cb-92C2-25804820EDAC}">
                        <c15:formulaRef>
                          <c15:sqref>Grafik!$B$26:$U$26</c15:sqref>
                        </c15:formulaRef>
                      </c:ext>
                    </c:extLst>
                    <c:numCache>
                      <c:formatCode>_-* #,##0.00\ [$€-407]_-;\-* #,##0.00\ [$€-407]_-;_-* "-"??\ [$€-407]_-;_-@_-</c:formatCode>
                      <c:ptCount val="20"/>
                      <c:pt idx="0">
                        <c:v>2798.1430565277278</c:v>
                      </c:pt>
                      <c:pt idx="1">
                        <c:v>3419.9526246450009</c:v>
                      </c:pt>
                      <c:pt idx="2">
                        <c:v>4041.7621927622736</c:v>
                      </c:pt>
                      <c:pt idx="3">
                        <c:v>4041.7621927622736</c:v>
                      </c:pt>
                      <c:pt idx="4">
                        <c:v>4041.7621927622736</c:v>
                      </c:pt>
                      <c:pt idx="5">
                        <c:v>4041.7621927622736</c:v>
                      </c:pt>
                      <c:pt idx="6">
                        <c:v>4041.7621927622736</c:v>
                      </c:pt>
                      <c:pt idx="7">
                        <c:v>4041.7621927622736</c:v>
                      </c:pt>
                      <c:pt idx="8">
                        <c:v>4041.7621927622736</c:v>
                      </c:pt>
                      <c:pt idx="9">
                        <c:v>4041.7621927622736</c:v>
                      </c:pt>
                      <c:pt idx="10">
                        <c:v>4041.7621927622736</c:v>
                      </c:pt>
                      <c:pt idx="11">
                        <c:v>4041.7621927622736</c:v>
                      </c:pt>
                      <c:pt idx="12">
                        <c:v>4041.7621927622736</c:v>
                      </c:pt>
                      <c:pt idx="13">
                        <c:v>4041.7621927622736</c:v>
                      </c:pt>
                      <c:pt idx="14">
                        <c:v>4041.7621927622736</c:v>
                      </c:pt>
                      <c:pt idx="15">
                        <c:v>4041.7621927622736</c:v>
                      </c:pt>
                      <c:pt idx="16">
                        <c:v>4041.7621927622736</c:v>
                      </c:pt>
                      <c:pt idx="17">
                        <c:v>4041.7621927622736</c:v>
                      </c:pt>
                      <c:pt idx="18">
                        <c:v>4041.7621927622736</c:v>
                      </c:pt>
                      <c:pt idx="19">
                        <c:v>4041.7621927622736</c:v>
                      </c:pt>
                    </c:numCache>
                  </c:numRef>
                </c:val>
                <c:extLst>
                  <c:ext xmlns:c16="http://schemas.microsoft.com/office/drawing/2014/chart" uri="{C3380CC4-5D6E-409C-BE32-E72D297353CC}">
                    <c16:uniqueId val="{00000004-C30C-48CE-BC76-9BD0F854D73C}"/>
                  </c:ext>
                </c:extLst>
              </c15:ser>
            </c15:filteredBarSeries>
            <c15:filteredBarSeries>
              <c15:ser>
                <c:idx val="4"/>
                <c:order val="4"/>
                <c:tx>
                  <c:v>Moderater Anstieg (100 € bis 2044</c:v>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Grafik!$B$30:$U$30</c15:sqref>
                        </c15:formulaRef>
                      </c:ext>
                    </c:extLst>
                    <c:numCache>
                      <c:formatCode>_("€"* #,##0.00_);_("€"* \(#,##0.00\);_("€"* "-"??_);_(@_)</c:formatCode>
                      <c:ptCount val="20"/>
                      <c:pt idx="0">
                        <c:v>2798.1430565277278</c:v>
                      </c:pt>
                      <c:pt idx="1">
                        <c:v>3419.9526246450009</c:v>
                      </c:pt>
                      <c:pt idx="2">
                        <c:v>4041.7621927622736</c:v>
                      </c:pt>
                      <c:pt idx="3">
                        <c:v>4162.6696087850769</c:v>
                      </c:pt>
                      <c:pt idx="4">
                        <c:v>4283.5770248078798</c:v>
                      </c:pt>
                      <c:pt idx="5">
                        <c:v>4404.4844408306835</c:v>
                      </c:pt>
                      <c:pt idx="6">
                        <c:v>4525.3918568534855</c:v>
                      </c:pt>
                      <c:pt idx="7">
                        <c:v>4646.2992728762893</c:v>
                      </c:pt>
                      <c:pt idx="8">
                        <c:v>4767.2066888990912</c:v>
                      </c:pt>
                      <c:pt idx="9">
                        <c:v>4888.1141049218941</c:v>
                      </c:pt>
                      <c:pt idx="10">
                        <c:v>5009.0215209446969</c:v>
                      </c:pt>
                      <c:pt idx="11">
                        <c:v>5129.9289369674998</c:v>
                      </c:pt>
                      <c:pt idx="12">
                        <c:v>5250.8363529903036</c:v>
                      </c:pt>
                      <c:pt idx="13">
                        <c:v>5371.7437690131064</c:v>
                      </c:pt>
                      <c:pt idx="14">
                        <c:v>5492.6511850359093</c:v>
                      </c:pt>
                      <c:pt idx="15">
                        <c:v>5613.5586010587131</c:v>
                      </c:pt>
                      <c:pt idx="16">
                        <c:v>5734.4660170815159</c:v>
                      </c:pt>
                      <c:pt idx="17">
                        <c:v>5855.3734331043188</c:v>
                      </c:pt>
                      <c:pt idx="18">
                        <c:v>5976.2808491271217</c:v>
                      </c:pt>
                      <c:pt idx="19">
                        <c:v>6097.1882651499236</c:v>
                      </c:pt>
                    </c:numCache>
                  </c:numRef>
                </c:val>
                <c:extLst xmlns:c15="http://schemas.microsoft.com/office/drawing/2012/chart">
                  <c:ext xmlns:c16="http://schemas.microsoft.com/office/drawing/2014/chart" uri="{C3380CC4-5D6E-409C-BE32-E72D297353CC}">
                    <c16:uniqueId val="{00000005-C30C-48CE-BC76-9BD0F854D73C}"/>
                  </c:ext>
                </c:extLst>
              </c15:ser>
            </c15:filteredBarSeries>
            <c15:filteredBarSeries>
              <c15:ser>
                <c:idx val="5"/>
                <c:order val="5"/>
                <c:tx>
                  <c:v>starker Anstieg (300 € bis 2044)</c:v>
                </c:tx>
                <c:spPr>
                  <a:solidFill>
                    <a:schemeClr val="accent6"/>
                  </a:solidFill>
                  <a:ln>
                    <a:noFill/>
                  </a:ln>
                  <a:effectLst/>
                </c:spPr>
                <c:invertIfNegative val="0"/>
                <c:val>
                  <c:numRef>
                    <c:extLst xmlns:c15="http://schemas.microsoft.com/office/drawing/2012/chart">
                      <c:ext xmlns:c15="http://schemas.microsoft.com/office/drawing/2012/chart" uri="{02D57815-91ED-43cb-92C2-25804820EDAC}">
                        <c15:formulaRef>
                          <c15:sqref>Grafik!$B$34:$U$34</c15:sqref>
                        </c15:formulaRef>
                      </c:ext>
                    </c:extLst>
                    <c:numCache>
                      <c:formatCode>_("€"* #,##0.00_);_("€"* \(#,##0.00\);_("€"* "-"??_);_(@_)</c:formatCode>
                      <c:ptCount val="20"/>
                      <c:pt idx="0">
                        <c:v>2798.1430565277278</c:v>
                      </c:pt>
                      <c:pt idx="1">
                        <c:v>3419.9526246450009</c:v>
                      </c:pt>
                      <c:pt idx="2">
                        <c:v>4041.7621927622736</c:v>
                      </c:pt>
                      <c:pt idx="3">
                        <c:v>4853.569128915381</c:v>
                      </c:pt>
                      <c:pt idx="4">
                        <c:v>5665.3760650684862</c:v>
                      </c:pt>
                      <c:pt idx="5">
                        <c:v>6477.1830012215923</c:v>
                      </c:pt>
                      <c:pt idx="6">
                        <c:v>7288.9899373747012</c:v>
                      </c:pt>
                      <c:pt idx="7">
                        <c:v>8100.7968735278037</c:v>
                      </c:pt>
                      <c:pt idx="8">
                        <c:v>8912.6038096809098</c:v>
                      </c:pt>
                      <c:pt idx="9">
                        <c:v>9724.410745834015</c:v>
                      </c:pt>
                      <c:pt idx="10">
                        <c:v>10536.21768198712</c:v>
                      </c:pt>
                      <c:pt idx="11">
                        <c:v>11348.024618140225</c:v>
                      </c:pt>
                      <c:pt idx="12">
                        <c:v>12159.831554293331</c:v>
                      </c:pt>
                      <c:pt idx="13">
                        <c:v>12971.638490446434</c:v>
                      </c:pt>
                      <c:pt idx="14">
                        <c:v>13783.445426599545</c:v>
                      </c:pt>
                      <c:pt idx="15">
                        <c:v>14595.252362752648</c:v>
                      </c:pt>
                      <c:pt idx="16">
                        <c:v>15407.059298905755</c:v>
                      </c:pt>
                      <c:pt idx="17">
                        <c:v>16218.866235058862</c:v>
                      </c:pt>
                      <c:pt idx="18">
                        <c:v>17030.673171211965</c:v>
                      </c:pt>
                      <c:pt idx="19">
                        <c:v>17842.480107365067</c:v>
                      </c:pt>
                    </c:numCache>
                  </c:numRef>
                </c:val>
                <c:extLst xmlns:c15="http://schemas.microsoft.com/office/drawing/2012/chart">
                  <c:ext xmlns:c16="http://schemas.microsoft.com/office/drawing/2014/chart" uri="{C3380CC4-5D6E-409C-BE32-E72D297353CC}">
                    <c16:uniqueId val="{00000006-C30C-48CE-BC76-9BD0F854D73C}"/>
                  </c:ext>
                </c:extLst>
              </c15:ser>
            </c15:filteredBarSeries>
          </c:ext>
        </c:extLst>
      </c:barChart>
      <c:valAx>
        <c:axId val="721378360"/>
        <c:scaling>
          <c:orientation val="minMax"/>
        </c:scaling>
        <c:delete val="0"/>
        <c:axPos val="r"/>
        <c:majorGridlines>
          <c:spPr>
            <a:ln w="9525" cap="flat" cmpd="sng" algn="ctr">
              <a:solidFill>
                <a:schemeClr val="tx1">
                  <a:lumMod val="15000"/>
                  <a:lumOff val="85000"/>
                </a:schemeClr>
              </a:solidFill>
              <a:round/>
            </a:ln>
            <a:effectLst/>
          </c:spPr>
        </c:majorGridlines>
        <c:numFmt formatCode="_-* #,##0.00\ [$€-407]_-;\-* #,##0.00\ [$€-407]_-;_-* &quot;-&quot;??\ [$€-407]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1374752"/>
        <c:crosses val="max"/>
        <c:crossBetween val="between"/>
        <c:majorUnit val="50000"/>
        <c:minorUnit val="5000"/>
      </c:valAx>
      <c:catAx>
        <c:axId val="721374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1378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62" b="0" i="0" u="none" strike="noStrike" kern="1200" spc="0" baseline="0">
                <a:solidFill>
                  <a:schemeClr val="tx1">
                    <a:lumMod val="65000"/>
                    <a:lumOff val="35000"/>
                  </a:schemeClr>
                </a:solidFill>
                <a:latin typeface="+mn-lt"/>
                <a:ea typeface="+mn-ea"/>
                <a:cs typeface="+mn-cs"/>
              </a:defRPr>
            </a:pPr>
            <a:r>
              <a:rPr lang="de-DE"/>
              <a:t>Summe der Zusatzkosten durch CO</a:t>
            </a:r>
            <a:r>
              <a:rPr lang="de-DE" baseline="-25000"/>
              <a:t>2</a:t>
            </a:r>
            <a:r>
              <a:rPr lang="de-DE"/>
              <a:t> - Preis in den nächsten 20 Jahren</a:t>
            </a:r>
          </a:p>
        </c:rich>
      </c:tx>
      <c:overlay val="0"/>
      <c:spPr>
        <a:noFill/>
        <a:ln>
          <a:noFill/>
        </a:ln>
        <a:effectLst/>
      </c:spPr>
      <c:txPr>
        <a:bodyPr rot="0" spcFirstLastPara="1" vertOverflow="ellipsis" vert="horz" wrap="square" anchor="ctr" anchorCtr="1"/>
        <a:lstStyle/>
        <a:p>
          <a:pPr>
            <a:defRPr sz="1862"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Niedrigpreis Szenario</c:v>
          </c:tx>
          <c:spPr>
            <a:solidFill>
              <a:schemeClr val="accent2"/>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Grafik!$B$27:$U$27</c:f>
              <c:numCache>
                <c:formatCode>_-* #,##0.00\ [$€-407]_-;\-* #,##0.00\ [$€-407]_-;_-* "-"??\ [$€-407]_-;_-@_-</c:formatCode>
                <c:ptCount val="20"/>
                <c:pt idx="0">
                  <c:v>2798.1430565277278</c:v>
                </c:pt>
                <c:pt idx="1">
                  <c:v>6218.0956811727283</c:v>
                </c:pt>
                <c:pt idx="2">
                  <c:v>10259.857873935001</c:v>
                </c:pt>
                <c:pt idx="3">
                  <c:v>14301.620066697275</c:v>
                </c:pt>
                <c:pt idx="4">
                  <c:v>18343.382259459548</c:v>
                </c:pt>
                <c:pt idx="5">
                  <c:v>22385.144452221823</c:v>
                </c:pt>
                <c:pt idx="6">
                  <c:v>26426.906644984098</c:v>
                </c:pt>
                <c:pt idx="7">
                  <c:v>30468.668837746372</c:v>
                </c:pt>
                <c:pt idx="8">
                  <c:v>34510.431030508647</c:v>
                </c:pt>
                <c:pt idx="9">
                  <c:v>38552.193223270922</c:v>
                </c:pt>
                <c:pt idx="10">
                  <c:v>42593.955416033197</c:v>
                </c:pt>
                <c:pt idx="11">
                  <c:v>46635.717608795472</c:v>
                </c:pt>
                <c:pt idx="12">
                  <c:v>50677.479801557747</c:v>
                </c:pt>
                <c:pt idx="13">
                  <c:v>54719.241994320022</c:v>
                </c:pt>
                <c:pt idx="14">
                  <c:v>58761.004187082297</c:v>
                </c:pt>
                <c:pt idx="15">
                  <c:v>62802.766379844572</c:v>
                </c:pt>
                <c:pt idx="16">
                  <c:v>66844.52857260684</c:v>
                </c:pt>
                <c:pt idx="17">
                  <c:v>70886.290765369107</c:v>
                </c:pt>
                <c:pt idx="18">
                  <c:v>74928.052958131375</c:v>
                </c:pt>
                <c:pt idx="19">
                  <c:v>78969.815150893643</c:v>
                </c:pt>
              </c:numCache>
            </c:numRef>
          </c:val>
          <c:extLst>
            <c:ext xmlns:c16="http://schemas.microsoft.com/office/drawing/2014/chart" uri="{C3380CC4-5D6E-409C-BE32-E72D297353CC}">
              <c16:uniqueId val="{00000000-F25B-4B47-8E4F-D8B2A87686BD}"/>
            </c:ext>
          </c:extLst>
        </c:ser>
        <c:ser>
          <c:idx val="1"/>
          <c:order val="1"/>
          <c:tx>
            <c:v>Moderater Anstieg (100 € bis 2044)</c:v>
          </c:tx>
          <c:spPr>
            <a:solidFill>
              <a:schemeClr val="accent4"/>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Grafik!$B$31:$U$31</c:f>
              <c:numCache>
                <c:formatCode>_("€"* #,##0.00_);_("€"* \(#,##0.00\);_("€"* "-"??_);_(@_)</c:formatCode>
                <c:ptCount val="20"/>
                <c:pt idx="0">
                  <c:v>2798.1430565277278</c:v>
                </c:pt>
                <c:pt idx="1">
                  <c:v>6218.0956811727283</c:v>
                </c:pt>
                <c:pt idx="2">
                  <c:v>10259.857873935001</c:v>
                </c:pt>
                <c:pt idx="3">
                  <c:v>14422.527482720077</c:v>
                </c:pt>
                <c:pt idx="4">
                  <c:v>18706.104507527958</c:v>
                </c:pt>
                <c:pt idx="5">
                  <c:v>23110.588948358643</c:v>
                </c:pt>
                <c:pt idx="6">
                  <c:v>27635.98080521213</c:v>
                </c:pt>
                <c:pt idx="7">
                  <c:v>32282.280078088421</c:v>
                </c:pt>
                <c:pt idx="8">
                  <c:v>37049.486766987509</c:v>
                </c:pt>
                <c:pt idx="9">
                  <c:v>41937.600871909402</c:v>
                </c:pt>
                <c:pt idx="10">
                  <c:v>46946.6223928541</c:v>
                </c:pt>
                <c:pt idx="11">
                  <c:v>52076.551329821603</c:v>
                </c:pt>
                <c:pt idx="12">
                  <c:v>57327.38768281191</c:v>
                </c:pt>
                <c:pt idx="13">
                  <c:v>62699.131451825015</c:v>
                </c:pt>
                <c:pt idx="14">
                  <c:v>68191.782636860924</c:v>
                </c:pt>
                <c:pt idx="15">
                  <c:v>73805.341237919638</c:v>
                </c:pt>
                <c:pt idx="16">
                  <c:v>79539.807255001157</c:v>
                </c:pt>
                <c:pt idx="17">
                  <c:v>85395.18068810548</c:v>
                </c:pt>
                <c:pt idx="18">
                  <c:v>91371.461537232608</c:v>
                </c:pt>
                <c:pt idx="19">
                  <c:v>97468.649802382526</c:v>
                </c:pt>
              </c:numCache>
            </c:numRef>
          </c:val>
          <c:extLst>
            <c:ext xmlns:c16="http://schemas.microsoft.com/office/drawing/2014/chart" uri="{C3380CC4-5D6E-409C-BE32-E72D297353CC}">
              <c16:uniqueId val="{00000001-F25B-4B47-8E4F-D8B2A87686BD}"/>
            </c:ext>
          </c:extLst>
        </c:ser>
        <c:ser>
          <c:idx val="2"/>
          <c:order val="2"/>
          <c:tx>
            <c:v>starker Anstieg (300 € bis 2044)</c:v>
          </c:tx>
          <c:spPr>
            <a:solidFill>
              <a:schemeClr val="accent6"/>
            </a:solidFill>
            <a:ln>
              <a:noFill/>
            </a:ln>
            <a:effectLst/>
          </c:spPr>
          <c:invertIfNegative val="0"/>
          <c:cat>
            <c:strRef>
              <c:f>Grafik!$B$24:$U$24</c:f>
              <c:strCache>
                <c:ptCount val="20"/>
                <c:pt idx="0">
                  <c:v>2024
</c:v>
                </c:pt>
                <c:pt idx="1">
                  <c:v>2025
</c:v>
                </c:pt>
                <c:pt idx="2">
                  <c:v>2026
</c:v>
                </c:pt>
                <c:pt idx="3">
                  <c:v>2027</c:v>
                </c:pt>
                <c:pt idx="4">
                  <c:v>2028
</c:v>
                </c:pt>
                <c:pt idx="5">
                  <c:v>2029
</c:v>
                </c:pt>
                <c:pt idx="6">
                  <c:v>2030
</c:v>
                </c:pt>
                <c:pt idx="7">
                  <c:v>2031
</c:v>
                </c:pt>
                <c:pt idx="8">
                  <c:v>2032
</c:v>
                </c:pt>
                <c:pt idx="9">
                  <c:v>2033
</c:v>
                </c:pt>
                <c:pt idx="10">
                  <c:v>2034</c:v>
                </c:pt>
                <c:pt idx="11">
                  <c:v>2035</c:v>
                </c:pt>
                <c:pt idx="12">
                  <c:v>2036</c:v>
                </c:pt>
                <c:pt idx="13">
                  <c:v>2037</c:v>
                </c:pt>
                <c:pt idx="14">
                  <c:v>2038</c:v>
                </c:pt>
                <c:pt idx="15">
                  <c:v>2039</c:v>
                </c:pt>
                <c:pt idx="16">
                  <c:v>2040</c:v>
                </c:pt>
                <c:pt idx="17">
                  <c:v>2041</c:v>
                </c:pt>
                <c:pt idx="18">
                  <c:v>2042</c:v>
                </c:pt>
                <c:pt idx="19">
                  <c:v>2043</c:v>
                </c:pt>
              </c:strCache>
            </c:strRef>
          </c:cat>
          <c:val>
            <c:numRef>
              <c:f>Grafik!$B$35:$U$35</c:f>
              <c:numCache>
                <c:formatCode>_("€"* #,##0.00_);_("€"* \(#,##0.00\);_("€"* "-"??_);_(@_)</c:formatCode>
                <c:ptCount val="20"/>
                <c:pt idx="0">
                  <c:v>2798.1430565277278</c:v>
                </c:pt>
                <c:pt idx="1">
                  <c:v>6218.0956811727283</c:v>
                </c:pt>
                <c:pt idx="2">
                  <c:v>10259.857873935001</c:v>
                </c:pt>
                <c:pt idx="3">
                  <c:v>15113.427002850382</c:v>
                </c:pt>
                <c:pt idx="4">
                  <c:v>20778.803067918867</c:v>
                </c:pt>
                <c:pt idx="5">
                  <c:v>27255.986069140461</c:v>
                </c:pt>
                <c:pt idx="6">
                  <c:v>34544.976006515164</c:v>
                </c:pt>
                <c:pt idx="7">
                  <c:v>42645.772880042969</c:v>
                </c:pt>
                <c:pt idx="8">
                  <c:v>51558.376689723882</c:v>
                </c:pt>
                <c:pt idx="9">
                  <c:v>61282.787435557897</c:v>
                </c:pt>
                <c:pt idx="10">
                  <c:v>71819.005117545021</c:v>
                </c:pt>
                <c:pt idx="11">
                  <c:v>83167.029735685239</c:v>
                </c:pt>
                <c:pt idx="12">
                  <c:v>95326.861289978566</c:v>
                </c:pt>
                <c:pt idx="13">
                  <c:v>108298.499780425</c:v>
                </c:pt>
                <c:pt idx="14">
                  <c:v>122081.94520702455</c:v>
                </c:pt>
                <c:pt idx="15">
                  <c:v>136677.1975697772</c:v>
                </c:pt>
                <c:pt idx="16">
                  <c:v>152084.25686868295</c:v>
                </c:pt>
                <c:pt idx="17">
                  <c:v>168303.12310374182</c:v>
                </c:pt>
                <c:pt idx="18">
                  <c:v>185333.79627495378</c:v>
                </c:pt>
                <c:pt idx="19">
                  <c:v>203176.27638231884</c:v>
                </c:pt>
              </c:numCache>
            </c:numRef>
          </c:val>
          <c:extLst>
            <c:ext xmlns:c16="http://schemas.microsoft.com/office/drawing/2014/chart" uri="{C3380CC4-5D6E-409C-BE32-E72D297353CC}">
              <c16:uniqueId val="{00000002-F25B-4B47-8E4F-D8B2A87686BD}"/>
            </c:ext>
          </c:extLst>
        </c:ser>
        <c:dLbls>
          <c:showLegendKey val="0"/>
          <c:showVal val="0"/>
          <c:showCatName val="0"/>
          <c:showSerName val="0"/>
          <c:showPercent val="0"/>
          <c:showBubbleSize val="0"/>
        </c:dLbls>
        <c:gapWidth val="219"/>
        <c:overlap val="-27"/>
        <c:axId val="721374752"/>
        <c:axId val="721378360"/>
        <c:extLst>
          <c:ext xmlns:c15="http://schemas.microsoft.com/office/drawing/2012/chart" uri="{02D57815-91ED-43cb-92C2-25804820EDAC}">
            <c15:filteredBarSeries>
              <c15:ser>
                <c:idx val="3"/>
                <c:order val="3"/>
                <c:tx>
                  <c:v>Nidriegpreisszenario</c:v>
                </c:tx>
                <c:spPr>
                  <a:solidFill>
                    <a:schemeClr val="accent2">
                      <a:lumMod val="60000"/>
                    </a:schemeClr>
                  </a:solidFill>
                  <a:ln>
                    <a:noFill/>
                  </a:ln>
                  <a:effectLst/>
                </c:spPr>
                <c:invertIfNegative val="0"/>
                <c:val>
                  <c:numRef>
                    <c:extLst>
                      <c:ext uri="{02D57815-91ED-43cb-92C2-25804820EDAC}">
                        <c15:formulaRef>
                          <c15:sqref>Grafik!$B$26:$U$26</c15:sqref>
                        </c15:formulaRef>
                      </c:ext>
                    </c:extLst>
                    <c:numCache>
                      <c:formatCode>_-* #,##0.00\ [$€-407]_-;\-* #,##0.00\ [$€-407]_-;_-* "-"??\ [$€-407]_-;_-@_-</c:formatCode>
                      <c:ptCount val="20"/>
                      <c:pt idx="0">
                        <c:v>2798.1430565277278</c:v>
                      </c:pt>
                      <c:pt idx="1">
                        <c:v>3419.9526246450009</c:v>
                      </c:pt>
                      <c:pt idx="2">
                        <c:v>4041.7621927622736</c:v>
                      </c:pt>
                      <c:pt idx="3">
                        <c:v>4041.7621927622736</c:v>
                      </c:pt>
                      <c:pt idx="4">
                        <c:v>4041.7621927622736</c:v>
                      </c:pt>
                      <c:pt idx="5">
                        <c:v>4041.7621927622736</c:v>
                      </c:pt>
                      <c:pt idx="6">
                        <c:v>4041.7621927622736</c:v>
                      </c:pt>
                      <c:pt idx="7">
                        <c:v>4041.7621927622736</c:v>
                      </c:pt>
                      <c:pt idx="8">
                        <c:v>4041.7621927622736</c:v>
                      </c:pt>
                      <c:pt idx="9">
                        <c:v>4041.7621927622736</c:v>
                      </c:pt>
                      <c:pt idx="10">
                        <c:v>4041.7621927622736</c:v>
                      </c:pt>
                      <c:pt idx="11">
                        <c:v>4041.7621927622736</c:v>
                      </c:pt>
                      <c:pt idx="12">
                        <c:v>4041.7621927622736</c:v>
                      </c:pt>
                      <c:pt idx="13">
                        <c:v>4041.7621927622736</c:v>
                      </c:pt>
                      <c:pt idx="14">
                        <c:v>4041.7621927622736</c:v>
                      </c:pt>
                      <c:pt idx="15">
                        <c:v>4041.7621927622736</c:v>
                      </c:pt>
                      <c:pt idx="16">
                        <c:v>4041.7621927622736</c:v>
                      </c:pt>
                      <c:pt idx="17">
                        <c:v>4041.7621927622736</c:v>
                      </c:pt>
                      <c:pt idx="18">
                        <c:v>4041.7621927622736</c:v>
                      </c:pt>
                      <c:pt idx="19">
                        <c:v>4041.7621927622736</c:v>
                      </c:pt>
                    </c:numCache>
                  </c:numRef>
                </c:val>
                <c:extLst>
                  <c:ext xmlns:c16="http://schemas.microsoft.com/office/drawing/2014/chart" uri="{C3380CC4-5D6E-409C-BE32-E72D297353CC}">
                    <c16:uniqueId val="{00000003-F25B-4B47-8E4F-D8B2A87686BD}"/>
                  </c:ext>
                </c:extLst>
              </c15:ser>
            </c15:filteredBarSeries>
            <c15:filteredBarSeries>
              <c15:ser>
                <c:idx val="4"/>
                <c:order val="4"/>
                <c:tx>
                  <c:v>Moderater Anstieg (100 € bis 2044</c:v>
                </c:tx>
                <c:spPr>
                  <a:solidFill>
                    <a:schemeClr val="accent4">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Grafik!$B$30:$U$30</c15:sqref>
                        </c15:formulaRef>
                      </c:ext>
                    </c:extLst>
                    <c:numCache>
                      <c:formatCode>_("€"* #,##0.00_);_("€"* \(#,##0.00\);_("€"* "-"??_);_(@_)</c:formatCode>
                      <c:ptCount val="20"/>
                      <c:pt idx="0">
                        <c:v>2798.1430565277278</c:v>
                      </c:pt>
                      <c:pt idx="1">
                        <c:v>3419.9526246450009</c:v>
                      </c:pt>
                      <c:pt idx="2">
                        <c:v>4041.7621927622736</c:v>
                      </c:pt>
                      <c:pt idx="3">
                        <c:v>4162.6696087850769</c:v>
                      </c:pt>
                      <c:pt idx="4">
                        <c:v>4283.5770248078798</c:v>
                      </c:pt>
                      <c:pt idx="5">
                        <c:v>4404.4844408306835</c:v>
                      </c:pt>
                      <c:pt idx="6">
                        <c:v>4525.3918568534855</c:v>
                      </c:pt>
                      <c:pt idx="7">
                        <c:v>4646.2992728762893</c:v>
                      </c:pt>
                      <c:pt idx="8">
                        <c:v>4767.2066888990912</c:v>
                      </c:pt>
                      <c:pt idx="9">
                        <c:v>4888.1141049218941</c:v>
                      </c:pt>
                      <c:pt idx="10">
                        <c:v>5009.0215209446969</c:v>
                      </c:pt>
                      <c:pt idx="11">
                        <c:v>5129.9289369674998</c:v>
                      </c:pt>
                      <c:pt idx="12">
                        <c:v>5250.8363529903036</c:v>
                      </c:pt>
                      <c:pt idx="13">
                        <c:v>5371.7437690131064</c:v>
                      </c:pt>
                      <c:pt idx="14">
                        <c:v>5492.6511850359093</c:v>
                      </c:pt>
                      <c:pt idx="15">
                        <c:v>5613.5586010587131</c:v>
                      </c:pt>
                      <c:pt idx="16">
                        <c:v>5734.4660170815159</c:v>
                      </c:pt>
                      <c:pt idx="17">
                        <c:v>5855.3734331043188</c:v>
                      </c:pt>
                      <c:pt idx="18">
                        <c:v>5976.2808491271217</c:v>
                      </c:pt>
                      <c:pt idx="19">
                        <c:v>6097.1882651499236</c:v>
                      </c:pt>
                    </c:numCache>
                  </c:numRef>
                </c:val>
                <c:extLst xmlns:c15="http://schemas.microsoft.com/office/drawing/2012/chart">
                  <c:ext xmlns:c16="http://schemas.microsoft.com/office/drawing/2014/chart" uri="{C3380CC4-5D6E-409C-BE32-E72D297353CC}">
                    <c16:uniqueId val="{00000004-F25B-4B47-8E4F-D8B2A87686BD}"/>
                  </c:ext>
                </c:extLst>
              </c15:ser>
            </c15:filteredBarSeries>
            <c15:filteredBarSeries>
              <c15:ser>
                <c:idx val="5"/>
                <c:order val="5"/>
                <c:tx>
                  <c:v>starker Anstieg (300 € bis 2044)</c:v>
                </c:tx>
                <c:spPr>
                  <a:solidFill>
                    <a:schemeClr val="accent6">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Grafik!$B$34:$U$34</c15:sqref>
                        </c15:formulaRef>
                      </c:ext>
                    </c:extLst>
                    <c:numCache>
                      <c:formatCode>_("€"* #,##0.00_);_("€"* \(#,##0.00\);_("€"* "-"??_);_(@_)</c:formatCode>
                      <c:ptCount val="20"/>
                      <c:pt idx="0">
                        <c:v>2798.1430565277278</c:v>
                      </c:pt>
                      <c:pt idx="1">
                        <c:v>3419.9526246450009</c:v>
                      </c:pt>
                      <c:pt idx="2">
                        <c:v>4041.7621927622736</c:v>
                      </c:pt>
                      <c:pt idx="3">
                        <c:v>4853.569128915381</c:v>
                      </c:pt>
                      <c:pt idx="4">
                        <c:v>5665.3760650684862</c:v>
                      </c:pt>
                      <c:pt idx="5">
                        <c:v>6477.1830012215923</c:v>
                      </c:pt>
                      <c:pt idx="6">
                        <c:v>7288.9899373747012</c:v>
                      </c:pt>
                      <c:pt idx="7">
                        <c:v>8100.7968735278037</c:v>
                      </c:pt>
                      <c:pt idx="8">
                        <c:v>8912.6038096809098</c:v>
                      </c:pt>
                      <c:pt idx="9">
                        <c:v>9724.410745834015</c:v>
                      </c:pt>
                      <c:pt idx="10">
                        <c:v>10536.21768198712</c:v>
                      </c:pt>
                      <c:pt idx="11">
                        <c:v>11348.024618140225</c:v>
                      </c:pt>
                      <c:pt idx="12">
                        <c:v>12159.831554293331</c:v>
                      </c:pt>
                      <c:pt idx="13">
                        <c:v>12971.638490446434</c:v>
                      </c:pt>
                      <c:pt idx="14">
                        <c:v>13783.445426599545</c:v>
                      </c:pt>
                      <c:pt idx="15">
                        <c:v>14595.252362752648</c:v>
                      </c:pt>
                      <c:pt idx="16">
                        <c:v>15407.059298905755</c:v>
                      </c:pt>
                      <c:pt idx="17">
                        <c:v>16218.866235058862</c:v>
                      </c:pt>
                      <c:pt idx="18">
                        <c:v>17030.673171211965</c:v>
                      </c:pt>
                      <c:pt idx="19">
                        <c:v>17842.480107365067</c:v>
                      </c:pt>
                    </c:numCache>
                  </c:numRef>
                </c:val>
                <c:extLst xmlns:c15="http://schemas.microsoft.com/office/drawing/2012/chart">
                  <c:ext xmlns:c16="http://schemas.microsoft.com/office/drawing/2014/chart" uri="{C3380CC4-5D6E-409C-BE32-E72D297353CC}">
                    <c16:uniqueId val="{00000005-F25B-4B47-8E4F-D8B2A87686BD}"/>
                  </c:ext>
                </c:extLst>
              </c15:ser>
            </c15:filteredBarSeries>
          </c:ext>
        </c:extLst>
      </c:barChart>
      <c:valAx>
        <c:axId val="721378360"/>
        <c:scaling>
          <c:orientation val="minMax"/>
        </c:scaling>
        <c:delete val="0"/>
        <c:axPos val="r"/>
        <c:majorGridlines>
          <c:spPr>
            <a:ln w="9525" cap="flat" cmpd="sng" algn="ctr">
              <a:solidFill>
                <a:schemeClr val="tx1">
                  <a:lumMod val="15000"/>
                  <a:lumOff val="85000"/>
                </a:schemeClr>
              </a:solidFill>
              <a:round/>
            </a:ln>
            <a:effectLst/>
          </c:spPr>
        </c:majorGridlines>
        <c:numFmt formatCode="_-* #,##0.00\ [$€-407]_-;\-* #,##0.00\ [$€-407]_-;_-* &quot;-&quot;??\ [$€-407]_-;_-@_-" sourceLinked="1"/>
        <c:majorTickMark val="none"/>
        <c:minorTickMark val="none"/>
        <c:tickLblPos val="nextTo"/>
        <c:spPr>
          <a:noFill/>
          <a:ln>
            <a:noFill/>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de-DE"/>
          </a:p>
        </c:txPr>
        <c:crossAx val="721374752"/>
        <c:crosses val="max"/>
        <c:crossBetween val="between"/>
        <c:majorUnit val="25000"/>
        <c:minorUnit val="5000"/>
      </c:valAx>
      <c:catAx>
        <c:axId val="72137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de-DE"/>
          </a:p>
        </c:txPr>
        <c:crossAx val="721378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Auswirkungen</a:t>
            </a:r>
            <a:r>
              <a:rPr lang="de-DE" baseline="0"/>
              <a:t> des CO2 - Preises auf verschiedene Energieträger</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Preisauswirkungen!$A$5</c:f>
              <c:strCache>
                <c:ptCount val="1"/>
                <c:pt idx="0">
                  <c:v>Heizöl Leicht [l]</c:v>
                </c:pt>
              </c:strCache>
            </c:strRef>
          </c:tx>
          <c:spPr>
            <a:ln w="28575" cap="rnd">
              <a:solidFill>
                <a:srgbClr val="A6BA30"/>
              </a:solidFill>
              <a:round/>
            </a:ln>
            <a:effectLst/>
          </c:spPr>
          <c:marker>
            <c:symbol val="none"/>
          </c:marker>
          <c:cat>
            <c:strRef>
              <c:f>Preisauswirkungen!$E$4:$N$4</c:f>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f>Preisauswirkungen!$E$5:$N$5</c:f>
              <c:numCache>
                <c:formatCode>0.0</c:formatCode>
                <c:ptCount val="10"/>
                <c:pt idx="0">
                  <c:v>15.530995752033986</c:v>
                </c:pt>
                <c:pt idx="1">
                  <c:v>18.354813161494711</c:v>
                </c:pt>
                <c:pt idx="2">
                  <c:v>18.354813161494711</c:v>
                </c:pt>
                <c:pt idx="3">
                  <c:v>18.354813161494711</c:v>
                </c:pt>
                <c:pt idx="4">
                  <c:v>18.354813161494711</c:v>
                </c:pt>
                <c:pt idx="5">
                  <c:v>18.354813161494711</c:v>
                </c:pt>
                <c:pt idx="6">
                  <c:v>18.354813161494711</c:v>
                </c:pt>
                <c:pt idx="7">
                  <c:v>18.354813161494711</c:v>
                </c:pt>
                <c:pt idx="8">
                  <c:v>18.354813161494711</c:v>
                </c:pt>
                <c:pt idx="9">
                  <c:v>18.354813161494711</c:v>
                </c:pt>
              </c:numCache>
            </c:numRef>
          </c:val>
          <c:smooth val="0"/>
          <c:extLst>
            <c:ext xmlns:c16="http://schemas.microsoft.com/office/drawing/2014/chart" uri="{C3380CC4-5D6E-409C-BE32-E72D297353CC}">
              <c16:uniqueId val="{00000000-440B-49BF-90E9-99A0D87D9AB1}"/>
            </c:ext>
          </c:extLst>
        </c:ser>
        <c:dLbls>
          <c:showLegendKey val="0"/>
          <c:showVal val="0"/>
          <c:showCatName val="0"/>
          <c:showSerName val="0"/>
          <c:showPercent val="0"/>
          <c:showBubbleSize val="0"/>
        </c:dLbls>
        <c:marker val="1"/>
        <c:smooth val="0"/>
        <c:axId val="454969304"/>
        <c:axId val="454962088"/>
        <c:extLst>
          <c:ext xmlns:c15="http://schemas.microsoft.com/office/drawing/2012/chart" uri="{02D57815-91ED-43cb-92C2-25804820EDAC}">
            <c15:filteredLineSeries>
              <c15:ser>
                <c:idx val="2"/>
                <c:order val="2"/>
                <c:tx>
                  <c:strRef>
                    <c:extLst>
                      <c:ext uri="{02D57815-91ED-43cb-92C2-25804820EDAC}">
                        <c15:formulaRef>
                          <c15:sqref>Preisauswirkungen!$A$12</c15:sqref>
                        </c15:formulaRef>
                      </c:ext>
                    </c:extLst>
                    <c:strCache>
                      <c:ptCount val="1"/>
                      <c:pt idx="0">
                        <c:v>Diesel [l]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Preisauswirkungen!$E$4:$N$4</c15:sqref>
                        </c15:formulaRef>
                      </c:ext>
                    </c:extLst>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extLst>
                      <c:ext uri="{02D57815-91ED-43cb-92C2-25804820EDAC}">
                        <c15:formulaRef>
                          <c15:sqref>Preisauswirkungen!$E$12:$N$12</c15:sqref>
                        </c15:formulaRef>
                      </c:ext>
                    </c:extLst>
                    <c:numCache>
                      <c:formatCode>0.0</c:formatCode>
                      <c:ptCount val="10"/>
                      <c:pt idx="0">
                        <c:v>15.61890704874361</c:v>
                      </c:pt>
                      <c:pt idx="1">
                        <c:v>18.458708330333359</c:v>
                      </c:pt>
                      <c:pt idx="2">
                        <c:v>18.458708330333359</c:v>
                      </c:pt>
                      <c:pt idx="3">
                        <c:v>18.458708330333359</c:v>
                      </c:pt>
                      <c:pt idx="4">
                        <c:v>18.458708330333359</c:v>
                      </c:pt>
                      <c:pt idx="5">
                        <c:v>18.458708330333359</c:v>
                      </c:pt>
                      <c:pt idx="6">
                        <c:v>18.458708330333359</c:v>
                      </c:pt>
                      <c:pt idx="7">
                        <c:v>18.458708330333359</c:v>
                      </c:pt>
                      <c:pt idx="8">
                        <c:v>18.458708330333359</c:v>
                      </c:pt>
                      <c:pt idx="9">
                        <c:v>18.458708330333359</c:v>
                      </c:pt>
                    </c:numCache>
                  </c:numRef>
                </c:val>
                <c:smooth val="0"/>
                <c:extLst>
                  <c:ext xmlns:c16="http://schemas.microsoft.com/office/drawing/2014/chart" uri="{C3380CC4-5D6E-409C-BE32-E72D297353CC}">
                    <c16:uniqueId val="{00000002-440B-49BF-90E9-99A0D87D9AB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Preisauswirkungen!$A$14</c15:sqref>
                        </c15:formulaRef>
                      </c:ext>
                    </c:extLst>
                    <c:strCache>
                      <c:ptCount val="1"/>
                      <c:pt idx="0">
                        <c:v>Benzin Super [l]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Preisauswirkungen!$E$4:$N$4</c15:sqref>
                        </c15:formulaRef>
                      </c:ext>
                    </c:extLst>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extLst xmlns:c15="http://schemas.microsoft.com/office/drawing/2012/chart">
                      <c:ext xmlns:c15="http://schemas.microsoft.com/office/drawing/2012/chart" uri="{02D57815-91ED-43cb-92C2-25804820EDAC}">
                        <c15:formulaRef>
                          <c15:sqref>Preisauswirkungen!$E$14:$N$14</c15:sqref>
                        </c15:formulaRef>
                      </c:ext>
                    </c:extLst>
                    <c:numCache>
                      <c:formatCode>0.0</c:formatCode>
                      <c:ptCount val="10"/>
                      <c:pt idx="0">
                        <c:v>14.397177622579019</c:v>
                      </c:pt>
                      <c:pt idx="1">
                        <c:v>17.014846281229751</c:v>
                      </c:pt>
                      <c:pt idx="2">
                        <c:v>17.014846281229751</c:v>
                      </c:pt>
                      <c:pt idx="3">
                        <c:v>17.014846281229751</c:v>
                      </c:pt>
                      <c:pt idx="4">
                        <c:v>17.014846281229751</c:v>
                      </c:pt>
                      <c:pt idx="5">
                        <c:v>17.014846281229751</c:v>
                      </c:pt>
                      <c:pt idx="6">
                        <c:v>17.014846281229751</c:v>
                      </c:pt>
                      <c:pt idx="7">
                        <c:v>17.014846281229751</c:v>
                      </c:pt>
                      <c:pt idx="8">
                        <c:v>17.014846281229751</c:v>
                      </c:pt>
                      <c:pt idx="9">
                        <c:v>17.014846281229751</c:v>
                      </c:pt>
                    </c:numCache>
                  </c:numRef>
                </c:val>
                <c:smooth val="0"/>
                <c:extLst xmlns:c15="http://schemas.microsoft.com/office/drawing/2012/chart">
                  <c:ext xmlns:c16="http://schemas.microsoft.com/office/drawing/2014/chart" uri="{C3380CC4-5D6E-409C-BE32-E72D297353CC}">
                    <c16:uniqueId val="{00000003-440B-49BF-90E9-99A0D87D9AB1}"/>
                  </c:ext>
                </c:extLst>
              </c15:ser>
            </c15:filteredLineSeries>
          </c:ext>
        </c:extLst>
      </c:lineChart>
      <c:lineChart>
        <c:grouping val="standard"/>
        <c:varyColors val="0"/>
        <c:ser>
          <c:idx val="1"/>
          <c:order val="1"/>
          <c:tx>
            <c:strRef>
              <c:f>Preisauswirkungen!$A$7</c:f>
              <c:strCache>
                <c:ptCount val="1"/>
                <c:pt idx="0">
                  <c:v>Erdgas [kWh]</c:v>
                </c:pt>
              </c:strCache>
            </c:strRef>
          </c:tx>
          <c:spPr>
            <a:ln w="28575" cap="rnd">
              <a:solidFill>
                <a:srgbClr val="006CA6"/>
              </a:solidFill>
              <a:round/>
            </a:ln>
            <a:effectLst/>
          </c:spPr>
          <c:marker>
            <c:symbol val="none"/>
          </c:marker>
          <c:cat>
            <c:strRef>
              <c:f>Preisauswirkungen!$E$4:$N$4</c:f>
              <c:strCache>
                <c:ptCount val="10"/>
                <c:pt idx="0">
                  <c:v>2025
 / 55[€/t]</c:v>
                </c:pt>
                <c:pt idx="1">
                  <c:v>2026
 / 65[€/t]</c:v>
                </c:pt>
                <c:pt idx="2">
                  <c:v>2027
 / 65[€/t]</c:v>
                </c:pt>
                <c:pt idx="3">
                  <c:v>2028
 / 65[€/t]</c:v>
                </c:pt>
                <c:pt idx="4">
                  <c:v>2029
 / 65[€/t]</c:v>
                </c:pt>
                <c:pt idx="5">
                  <c:v>2030
 / 65[€/t]</c:v>
                </c:pt>
                <c:pt idx="6">
                  <c:v>2031
 / 65[€/t]</c:v>
                </c:pt>
                <c:pt idx="7">
                  <c:v>2032
 / 65[€/t]</c:v>
                </c:pt>
                <c:pt idx="8">
                  <c:v>2033
 / 65[€/t]</c:v>
                </c:pt>
                <c:pt idx="9">
                  <c:v>2034
 / 65[€/t]</c:v>
                </c:pt>
              </c:strCache>
            </c:strRef>
          </c:cat>
          <c:val>
            <c:numRef>
              <c:f>Preisauswirkungen!$E$7:$N$7</c:f>
              <c:numCache>
                <c:formatCode>0.0</c:formatCode>
                <c:ptCount val="10"/>
                <c:pt idx="0">
                  <c:v>1.1053499110035556</c:v>
                </c:pt>
                <c:pt idx="1">
                  <c:v>1.3063226220951112</c:v>
                </c:pt>
                <c:pt idx="2">
                  <c:v>1.3063226220951112</c:v>
                </c:pt>
                <c:pt idx="3">
                  <c:v>1.3063226220951112</c:v>
                </c:pt>
                <c:pt idx="4">
                  <c:v>1.3063226220951112</c:v>
                </c:pt>
                <c:pt idx="5">
                  <c:v>1.3063226220951112</c:v>
                </c:pt>
                <c:pt idx="6">
                  <c:v>1.3063226220951112</c:v>
                </c:pt>
                <c:pt idx="7">
                  <c:v>1.3063226220951112</c:v>
                </c:pt>
                <c:pt idx="8">
                  <c:v>1.3063226220951112</c:v>
                </c:pt>
                <c:pt idx="9">
                  <c:v>1.3063226220951112</c:v>
                </c:pt>
              </c:numCache>
            </c:numRef>
          </c:val>
          <c:smooth val="0"/>
          <c:extLst>
            <c:ext xmlns:c16="http://schemas.microsoft.com/office/drawing/2014/chart" uri="{C3380CC4-5D6E-409C-BE32-E72D297353CC}">
              <c16:uniqueId val="{00000001-440B-49BF-90E9-99A0D87D9AB1}"/>
            </c:ext>
          </c:extLst>
        </c:ser>
        <c:dLbls>
          <c:showLegendKey val="0"/>
          <c:showVal val="0"/>
          <c:showCatName val="0"/>
          <c:showSerName val="0"/>
          <c:showPercent val="0"/>
          <c:showBubbleSize val="0"/>
        </c:dLbls>
        <c:marker val="1"/>
        <c:smooth val="0"/>
        <c:axId val="625303328"/>
        <c:axId val="625290864"/>
      </c:lineChart>
      <c:catAx>
        <c:axId val="4549693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Preis pro Jahr in Euro pro Tonne</a:t>
                </a:r>
                <a:endParaRPr lang="de-DE"/>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0" i="0" u="none" strike="noStrike" kern="1200" baseline="0">
                <a:solidFill>
                  <a:schemeClr val="tx1">
                    <a:lumMod val="65000"/>
                    <a:lumOff val="35000"/>
                  </a:schemeClr>
                </a:solidFill>
                <a:latin typeface="+mn-lt"/>
                <a:ea typeface="+mn-ea"/>
                <a:cs typeface="+mn-cs"/>
              </a:defRPr>
            </a:pPr>
            <a:endParaRPr lang="de-DE"/>
          </a:p>
        </c:txPr>
        <c:crossAx val="454962088"/>
        <c:crosses val="autoZero"/>
        <c:auto val="0"/>
        <c:lblAlgn val="ctr"/>
        <c:lblOffset val="100"/>
        <c:noMultiLvlLbl val="0"/>
      </c:catAx>
      <c:valAx>
        <c:axId val="454962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Aufpreis pro Liter Heizöl in Cent </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4969304"/>
        <c:crosses val="autoZero"/>
        <c:crossBetween val="between"/>
      </c:valAx>
      <c:valAx>
        <c:axId val="625290864"/>
        <c:scaling>
          <c:orientation val="minMax"/>
          <c:max val="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CO2</a:t>
                </a:r>
                <a:r>
                  <a:rPr lang="de-DE" baseline="0"/>
                  <a:t> - Aufpreis pro Kilowattstunde Erdgas in Cent</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5303328"/>
        <c:crosses val="max"/>
        <c:crossBetween val="between"/>
      </c:valAx>
      <c:catAx>
        <c:axId val="625303328"/>
        <c:scaling>
          <c:orientation val="minMax"/>
        </c:scaling>
        <c:delete val="1"/>
        <c:axPos val="b"/>
        <c:numFmt formatCode="General" sourceLinked="1"/>
        <c:majorTickMark val="out"/>
        <c:minorTickMark val="none"/>
        <c:tickLblPos val="nextTo"/>
        <c:crossAx val="6252908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Zusatzkosten durch CO</a:t>
            </a:r>
            <a:r>
              <a:rPr lang="en-US" sz="2000" baseline="-25000"/>
              <a:t>2</a:t>
            </a:r>
            <a:r>
              <a:rPr lang="en-US" sz="2000"/>
              <a:t>-Bepreisung [€/10a]*</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Beispiele_Wohngebäude!$B$6</c:f>
              <c:strCache>
                <c:ptCount val="1"/>
                <c:pt idx="0">
                  <c:v>Zusatzkosten durch CO2-Bepreisung [€/10a]</c:v>
                </c:pt>
              </c:strCache>
            </c:strRef>
          </c:tx>
          <c:spPr>
            <a:solidFill>
              <a:schemeClr val="accent1"/>
            </a:solidFill>
            <a:ln>
              <a:noFill/>
            </a:ln>
            <a:effectLst/>
          </c:spPr>
          <c:invertIfNegative val="0"/>
          <c:dPt>
            <c:idx val="0"/>
            <c:invertIfNegative val="0"/>
            <c:bubble3D val="0"/>
            <c:spPr>
              <a:solidFill>
                <a:srgbClr val="D3E088"/>
              </a:solidFill>
              <a:ln>
                <a:noFill/>
              </a:ln>
              <a:effectLst/>
            </c:spPr>
            <c:extLst>
              <c:ext xmlns:c16="http://schemas.microsoft.com/office/drawing/2014/chart" uri="{C3380CC4-5D6E-409C-BE32-E72D297353CC}">
                <c16:uniqueId val="{00000004-5DFE-4C92-89DB-1AEF1ECA2106}"/>
              </c:ext>
            </c:extLst>
          </c:dPt>
          <c:dPt>
            <c:idx val="1"/>
            <c:invertIfNegative val="0"/>
            <c:bubble3D val="0"/>
            <c:spPr>
              <a:solidFill>
                <a:srgbClr val="A6BA30"/>
              </a:solidFill>
              <a:ln>
                <a:noFill/>
              </a:ln>
              <a:effectLst/>
            </c:spPr>
            <c:extLst>
              <c:ext xmlns:c16="http://schemas.microsoft.com/office/drawing/2014/chart" uri="{C3380CC4-5D6E-409C-BE32-E72D297353CC}">
                <c16:uniqueId val="{00000005-5DFE-4C92-89DB-1AEF1ECA2106}"/>
              </c:ext>
            </c:extLst>
          </c:dPt>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6-5DFE-4C92-89DB-1AEF1ECA2106}"/>
              </c:ext>
            </c:extLst>
          </c:dPt>
          <c:dPt>
            <c:idx val="3"/>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7-5DFE-4C92-89DB-1AEF1ECA21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Beispiele_Wohngebäude!$C$3:$F$3</c:f>
              <c:strCache>
                <c:ptCount val="4"/>
                <c:pt idx="0">
                  <c:v>KfW55</c:v>
                </c:pt>
                <c:pt idx="1">
                  <c:v>KfW 70</c:v>
                </c:pt>
                <c:pt idx="2">
                  <c:v>Durchschnitt
Bestand Wohng. </c:v>
                </c:pt>
                <c:pt idx="3">
                  <c:v>EFH nicht saniert</c:v>
                </c:pt>
              </c:strCache>
            </c:strRef>
          </c:cat>
          <c:val>
            <c:numRef>
              <c:f>Beispiele_Wohngebäude!$C$6:$F$6</c:f>
              <c:numCache>
                <c:formatCode>_("€"* #,##0.00_);_("€"* \(#,##0.00\);_("€"* "-"??_);_(@_)</c:formatCode>
                <c:ptCount val="4"/>
                <c:pt idx="0">
                  <c:v>453</c:v>
                </c:pt>
                <c:pt idx="1">
                  <c:v>583</c:v>
                </c:pt>
                <c:pt idx="2">
                  <c:v>1943</c:v>
                </c:pt>
                <c:pt idx="3">
                  <c:v>2915</c:v>
                </c:pt>
              </c:numCache>
            </c:numRef>
          </c:val>
          <c:extLst>
            <c:ext xmlns:c16="http://schemas.microsoft.com/office/drawing/2014/chart" uri="{C3380CC4-5D6E-409C-BE32-E72D297353CC}">
              <c16:uniqueId val="{00000000-5DFE-4C92-89DB-1AEF1ECA2106}"/>
            </c:ext>
          </c:extLst>
        </c:ser>
        <c:dLbls>
          <c:dLblPos val="outEnd"/>
          <c:showLegendKey val="0"/>
          <c:showVal val="1"/>
          <c:showCatName val="0"/>
          <c:showSerName val="0"/>
          <c:showPercent val="0"/>
          <c:showBubbleSize val="0"/>
        </c:dLbls>
        <c:gapWidth val="182"/>
        <c:axId val="435426568"/>
        <c:axId val="435423616"/>
      </c:barChart>
      <c:catAx>
        <c:axId val="435426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435423616"/>
        <c:crosses val="autoZero"/>
        <c:auto val="1"/>
        <c:lblAlgn val="ctr"/>
        <c:lblOffset val="100"/>
        <c:noMultiLvlLbl val="0"/>
      </c:catAx>
      <c:valAx>
        <c:axId val="4354236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[€/10a]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5426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de-DE" sz="1800" b="1" i="0" u="sng" baseline="0">
                <a:effectLst/>
              </a:rPr>
              <a:t>Zusatzkosten CO</a:t>
            </a:r>
            <a:r>
              <a:rPr lang="de-DE" sz="1200" b="1" i="0" u="sng" baseline="0">
                <a:effectLst/>
              </a:rPr>
              <a:t>2</a:t>
            </a:r>
            <a:r>
              <a:rPr lang="de-DE" sz="1800" b="1" i="0" u="sng" baseline="0">
                <a:effectLst/>
              </a:rPr>
              <a:t>-Bepreisung 10 Jahre vs. 20 Jahre</a:t>
            </a:r>
            <a:endParaRPr lang="de-DE">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de-D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'Wohngebäude_Niedriger Preis'!$B$11</c:f>
              <c:strCache>
                <c:ptCount val="1"/>
                <c:pt idx="0">
                  <c:v>Zusatzkosten durch CO2-Bepreisung [€/10a] </c:v>
                </c:pt>
              </c:strCache>
            </c:strRef>
          </c:tx>
          <c:spPr>
            <a:pattFill prst="lgCheck">
              <a:fgClr>
                <a:srgbClr val="CC0000"/>
              </a:fgClr>
              <a:bgClr>
                <a:schemeClr val="bg1"/>
              </a:bgClr>
            </a:pattFill>
            <a:ln>
              <a:noFill/>
            </a:ln>
            <a:effectLst/>
          </c:spPr>
          <c:invertIfNegative val="0"/>
          <c:dPt>
            <c:idx val="0"/>
            <c:invertIfNegative val="0"/>
            <c:bubble3D val="0"/>
            <c:spPr>
              <a:pattFill prst="lgCheck">
                <a:fgClr>
                  <a:srgbClr val="00B050"/>
                </a:fgClr>
                <a:bgClr>
                  <a:schemeClr val="bg1"/>
                </a:bgClr>
              </a:pattFill>
              <a:ln>
                <a:noFill/>
              </a:ln>
              <a:effectLst/>
            </c:spPr>
            <c:extLst>
              <c:ext xmlns:c16="http://schemas.microsoft.com/office/drawing/2014/chart" uri="{C3380CC4-5D6E-409C-BE32-E72D297353CC}">
                <c16:uniqueId val="{00000001-58A6-4377-B021-DCBD92E39E08}"/>
              </c:ext>
            </c:extLst>
          </c:dPt>
          <c:dPt>
            <c:idx val="1"/>
            <c:invertIfNegative val="0"/>
            <c:bubble3D val="0"/>
            <c:spPr>
              <a:pattFill prst="lgCheck">
                <a:fgClr>
                  <a:srgbClr val="92D050"/>
                </a:fgClr>
                <a:bgClr>
                  <a:schemeClr val="bg1"/>
                </a:bgClr>
              </a:pattFill>
              <a:ln>
                <a:noFill/>
              </a:ln>
              <a:effectLst/>
            </c:spPr>
            <c:extLst>
              <c:ext xmlns:c16="http://schemas.microsoft.com/office/drawing/2014/chart" uri="{C3380CC4-5D6E-409C-BE32-E72D297353CC}">
                <c16:uniqueId val="{00000003-58A6-4377-B021-DCBD92E39E08}"/>
              </c:ext>
            </c:extLst>
          </c:dPt>
          <c:dPt>
            <c:idx val="2"/>
            <c:invertIfNegative val="0"/>
            <c:bubble3D val="0"/>
            <c:spPr>
              <a:pattFill prst="lgCheck">
                <a:fgClr>
                  <a:srgbClr val="F9CB07"/>
                </a:fgClr>
                <a:bgClr>
                  <a:schemeClr val="bg1"/>
                </a:bgClr>
              </a:pattFill>
              <a:ln>
                <a:noFill/>
              </a:ln>
              <a:effectLst/>
            </c:spPr>
            <c:extLst>
              <c:ext xmlns:c16="http://schemas.microsoft.com/office/drawing/2014/chart" uri="{C3380CC4-5D6E-409C-BE32-E72D297353CC}">
                <c16:uniqueId val="{00000005-58A6-4377-B021-DCBD92E39E08}"/>
              </c:ext>
            </c:extLst>
          </c:dPt>
          <c:dPt>
            <c:idx val="3"/>
            <c:invertIfNegative val="0"/>
            <c:bubble3D val="0"/>
            <c:spPr>
              <a:pattFill prst="lgCheck">
                <a:fgClr>
                  <a:srgbClr val="FF0000"/>
                </a:fgClr>
                <a:bgClr>
                  <a:schemeClr val="bg1"/>
                </a:bgClr>
              </a:pattFill>
              <a:ln>
                <a:noFill/>
              </a:ln>
              <a:effectLst/>
            </c:spPr>
            <c:extLst>
              <c:ext xmlns:c16="http://schemas.microsoft.com/office/drawing/2014/chart" uri="{C3380CC4-5D6E-409C-BE32-E72D297353CC}">
                <c16:uniqueId val="{00000007-58A6-4377-B021-DCBD92E39E0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('Wohngebäude_Niedriger Preis'!$C$8,'Wohngebäude_Niedriger Preis'!$D$8,'Wohngebäude_Niedriger Preis'!$E$8,'Wohngebäude_Niedriger Preis'!$F$8,'Wohngebäude_Niedriger Preis'!$G$8)</c:f>
              <c:strCache>
                <c:ptCount val="5"/>
                <c:pt idx="0">
                  <c:v>Effizienz-Haus 40</c:v>
                </c:pt>
                <c:pt idx="1">
                  <c:v>Effizienz-Haus 55</c:v>
                </c:pt>
                <c:pt idx="2">
                  <c:v>Effizienz-Haus 70</c:v>
                </c:pt>
                <c:pt idx="3">
                  <c:v>Durchschnitt
Bestand Wohng. </c:v>
                </c:pt>
                <c:pt idx="4">
                  <c:v>EFH nicht saniert</c:v>
                </c:pt>
              </c:strCache>
            </c:strRef>
          </c:cat>
          <c:val>
            <c:numRef>
              <c:f>('Wohngebäude_Niedriger Preis'!$C$11,'Wohngebäude_Niedriger Preis'!$D$11,'Wohngebäude_Niedriger Preis'!$E$11,'Wohngebäude_Niedriger Preis'!$F$11,'Wohngebäude_Niedriger Preis'!$G$11)</c:f>
              <c:numCache>
                <c:formatCode>_("€"* #,##0.00_);_("€"* \(#,##0.00\);_("€"* "-"??_);_(@_)</c:formatCode>
                <c:ptCount val="5"/>
                <c:pt idx="0">
                  <c:v>506.45123195072011</c:v>
                </c:pt>
                <c:pt idx="1">
                  <c:v>709.03172473100813</c:v>
                </c:pt>
                <c:pt idx="2">
                  <c:v>911.61221751129608</c:v>
                </c:pt>
                <c:pt idx="3">
                  <c:v>3038.7073917043203</c:v>
                </c:pt>
                <c:pt idx="4">
                  <c:v>4558.0610875564807</c:v>
                </c:pt>
              </c:numCache>
            </c:numRef>
          </c:val>
          <c:extLst>
            <c:ext xmlns:c16="http://schemas.microsoft.com/office/drawing/2014/chart" uri="{C3380CC4-5D6E-409C-BE32-E72D297353CC}">
              <c16:uniqueId val="{00000008-58A6-4377-B021-DCBD92E39E08}"/>
            </c:ext>
          </c:extLst>
        </c:ser>
        <c:ser>
          <c:idx val="1"/>
          <c:order val="1"/>
          <c:tx>
            <c:strRef>
              <c:f>'Wohngebäude_Niedriger Preis'!$B$12</c:f>
              <c:strCache>
                <c:ptCount val="1"/>
                <c:pt idx="0">
                  <c:v>Zusatzkosten durch CO2-Bepreisung [€/20a]</c:v>
                </c:pt>
              </c:strCache>
            </c:strRef>
          </c:tx>
          <c:spPr>
            <a:solidFill>
              <a:srgbClr val="CC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A-58A6-4377-B021-DCBD92E39E08}"/>
              </c:ext>
            </c:extLst>
          </c:dPt>
          <c:dPt>
            <c:idx val="1"/>
            <c:invertIfNegative val="0"/>
            <c:bubble3D val="0"/>
            <c:spPr>
              <a:solidFill>
                <a:srgbClr val="92D050"/>
              </a:solidFill>
              <a:ln>
                <a:noFill/>
              </a:ln>
              <a:effectLst/>
            </c:spPr>
            <c:extLst>
              <c:ext xmlns:c16="http://schemas.microsoft.com/office/drawing/2014/chart" uri="{C3380CC4-5D6E-409C-BE32-E72D297353CC}">
                <c16:uniqueId val="{0000000C-58A6-4377-B021-DCBD92E39E08}"/>
              </c:ext>
            </c:extLst>
          </c:dPt>
          <c:dPt>
            <c:idx val="2"/>
            <c:invertIfNegative val="0"/>
            <c:bubble3D val="0"/>
            <c:spPr>
              <a:solidFill>
                <a:srgbClr val="F9CB07"/>
              </a:solidFill>
              <a:ln>
                <a:noFill/>
              </a:ln>
              <a:effectLst/>
            </c:spPr>
            <c:extLst>
              <c:ext xmlns:c16="http://schemas.microsoft.com/office/drawing/2014/chart" uri="{C3380CC4-5D6E-409C-BE32-E72D297353CC}">
                <c16:uniqueId val="{0000000E-58A6-4377-B021-DCBD92E39E08}"/>
              </c:ext>
            </c:extLst>
          </c:dPt>
          <c:dPt>
            <c:idx val="3"/>
            <c:invertIfNegative val="0"/>
            <c:bubble3D val="0"/>
            <c:spPr>
              <a:solidFill>
                <a:srgbClr val="FF0000"/>
              </a:solidFill>
              <a:ln>
                <a:noFill/>
              </a:ln>
              <a:effectLst/>
            </c:spPr>
            <c:extLst>
              <c:ext xmlns:c16="http://schemas.microsoft.com/office/drawing/2014/chart" uri="{C3380CC4-5D6E-409C-BE32-E72D297353CC}">
                <c16:uniqueId val="{00000010-58A6-4377-B021-DCBD92E39E0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('Wohngebäude_Niedriger Preis'!$C$8,'Wohngebäude_Niedriger Preis'!$D$8,'Wohngebäude_Niedriger Preis'!$E$8,'Wohngebäude_Niedriger Preis'!$F$8,'Wohngebäude_Niedriger Preis'!$G$8)</c:f>
              <c:strCache>
                <c:ptCount val="5"/>
                <c:pt idx="0">
                  <c:v>Effizienz-Haus 40</c:v>
                </c:pt>
                <c:pt idx="1">
                  <c:v>Effizienz-Haus 55</c:v>
                </c:pt>
                <c:pt idx="2">
                  <c:v>Effizienz-Haus 70</c:v>
                </c:pt>
                <c:pt idx="3">
                  <c:v>Durchschnitt
Bestand Wohng. </c:v>
                </c:pt>
                <c:pt idx="4">
                  <c:v>EFH nicht saniert</c:v>
                </c:pt>
              </c:strCache>
            </c:strRef>
          </c:cat>
          <c:val>
            <c:numRef>
              <c:f>('Wohngebäude_Niedriger Preis'!$C$12,'Wohngebäude_Niedriger Preis'!$D$12,'Wohngebäude_Niedriger Preis'!$E$12,'Wohngebäude_Niedriger Preis'!$F$12,'Wohngebäude_Niedriger Preis'!$G$12)</c:f>
              <c:numCache>
                <c:formatCode>_("€"* #,##0.00_);_("€"* \(#,##0.00\);_("€"* "-"??_);_(@_)</c:formatCode>
                <c:ptCount val="5"/>
                <c:pt idx="0">
                  <c:v>1184.57712195418</c:v>
                </c:pt>
                <c:pt idx="1">
                  <c:v>1658.4079707358521</c:v>
                </c:pt>
                <c:pt idx="2">
                  <c:v>2132.2388195175245</c:v>
                </c:pt>
                <c:pt idx="3">
                  <c:v>7107.4627317250797</c:v>
                </c:pt>
                <c:pt idx="4">
                  <c:v>10661.19409758762</c:v>
                </c:pt>
              </c:numCache>
            </c:numRef>
          </c:val>
          <c:extLst>
            <c:ext xmlns:c16="http://schemas.microsoft.com/office/drawing/2014/chart" uri="{C3380CC4-5D6E-409C-BE32-E72D297353CC}">
              <c16:uniqueId val="{00000011-58A6-4377-B021-DCBD92E39E08}"/>
            </c:ext>
          </c:extLst>
        </c:ser>
        <c:dLbls>
          <c:dLblPos val="outEnd"/>
          <c:showLegendKey val="0"/>
          <c:showVal val="1"/>
          <c:showCatName val="0"/>
          <c:showSerName val="0"/>
          <c:showPercent val="0"/>
          <c:showBubbleSize val="0"/>
        </c:dLbls>
        <c:gapWidth val="219"/>
        <c:overlap val="-27"/>
        <c:axId val="1489472608"/>
        <c:axId val="1696255136"/>
      </c:barChart>
      <c:catAx>
        <c:axId val="148947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696255136"/>
        <c:crosses val="autoZero"/>
        <c:auto val="1"/>
        <c:lblAlgn val="ctr"/>
        <c:lblOffset val="100"/>
        <c:noMultiLvlLbl val="0"/>
      </c:catAx>
      <c:valAx>
        <c:axId val="16962551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48947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de-DE"/>
    </a:p>
  </c:txPr>
  <c:printSettings>
    <c:headerFooter/>
    <c:pageMargins b="0.78740157499999996" l="0.7" r="0.7" t="0.78740157499999996"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DE" sz="1800" b="1" i="0" u="sng" baseline="0">
                <a:effectLst/>
              </a:rPr>
              <a:t>Zusatzkosten CO</a:t>
            </a:r>
            <a:r>
              <a:rPr lang="de-DE" sz="1800" b="1" i="0" u="sng" baseline="-25000">
                <a:effectLst/>
              </a:rPr>
              <a:t>2</a:t>
            </a:r>
            <a:r>
              <a:rPr lang="de-DE" sz="1800" b="1" i="0" u="sng" baseline="0">
                <a:effectLst/>
              </a:rPr>
              <a:t>-Bepreisung 10 Jahre vs. 20 Jahre</a:t>
            </a:r>
            <a:endParaRPr lang="de-DE" b="1" u="sng">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'Wohngebäude_Moderater Preis'!$B$11</c:f>
              <c:strCache>
                <c:ptCount val="1"/>
                <c:pt idx="0">
                  <c:v>Zusatzkosten durch CO2-Bepreisung [€/10a] </c:v>
                </c:pt>
              </c:strCache>
            </c:strRef>
          </c:tx>
          <c:spPr>
            <a:pattFill prst="lgCheck">
              <a:fgClr>
                <a:srgbClr val="CC0000"/>
              </a:fgClr>
              <a:bgClr>
                <a:schemeClr val="bg1"/>
              </a:bgClr>
            </a:pattFill>
            <a:ln>
              <a:noFill/>
            </a:ln>
            <a:effectLst/>
          </c:spPr>
          <c:invertIfNegative val="0"/>
          <c:dPt>
            <c:idx val="0"/>
            <c:invertIfNegative val="0"/>
            <c:bubble3D val="0"/>
            <c:spPr>
              <a:pattFill prst="lgCheck">
                <a:fgClr>
                  <a:srgbClr val="00B050"/>
                </a:fgClr>
                <a:bgClr>
                  <a:schemeClr val="bg1"/>
                </a:bgClr>
              </a:pattFill>
              <a:ln>
                <a:noFill/>
              </a:ln>
              <a:effectLst/>
            </c:spPr>
            <c:extLst>
              <c:ext xmlns:c16="http://schemas.microsoft.com/office/drawing/2014/chart" uri="{C3380CC4-5D6E-409C-BE32-E72D297353CC}">
                <c16:uniqueId val="{00000001-1869-4C63-8302-FF5064D53A73}"/>
              </c:ext>
            </c:extLst>
          </c:dPt>
          <c:dPt>
            <c:idx val="1"/>
            <c:invertIfNegative val="0"/>
            <c:bubble3D val="0"/>
            <c:spPr>
              <a:pattFill prst="lgCheck">
                <a:fgClr>
                  <a:srgbClr val="92D050"/>
                </a:fgClr>
                <a:bgClr>
                  <a:schemeClr val="bg1"/>
                </a:bgClr>
              </a:pattFill>
              <a:ln>
                <a:noFill/>
              </a:ln>
              <a:effectLst/>
            </c:spPr>
            <c:extLst>
              <c:ext xmlns:c16="http://schemas.microsoft.com/office/drawing/2014/chart" uri="{C3380CC4-5D6E-409C-BE32-E72D297353CC}">
                <c16:uniqueId val="{00000003-1869-4C63-8302-FF5064D53A73}"/>
              </c:ext>
            </c:extLst>
          </c:dPt>
          <c:dPt>
            <c:idx val="2"/>
            <c:invertIfNegative val="0"/>
            <c:bubble3D val="0"/>
            <c:spPr>
              <a:pattFill prst="lgCheck">
                <a:fgClr>
                  <a:srgbClr val="F9CB07"/>
                </a:fgClr>
                <a:bgClr>
                  <a:schemeClr val="bg1"/>
                </a:bgClr>
              </a:pattFill>
              <a:ln>
                <a:noFill/>
              </a:ln>
              <a:effectLst/>
            </c:spPr>
            <c:extLst>
              <c:ext xmlns:c16="http://schemas.microsoft.com/office/drawing/2014/chart" uri="{C3380CC4-5D6E-409C-BE32-E72D297353CC}">
                <c16:uniqueId val="{00000005-1869-4C63-8302-FF5064D53A73}"/>
              </c:ext>
            </c:extLst>
          </c:dPt>
          <c:dPt>
            <c:idx val="3"/>
            <c:invertIfNegative val="0"/>
            <c:bubble3D val="0"/>
            <c:spPr>
              <a:pattFill prst="lgCheck">
                <a:fgClr>
                  <a:srgbClr val="FF0000"/>
                </a:fgClr>
                <a:bgClr>
                  <a:schemeClr val="bg1"/>
                </a:bgClr>
              </a:pattFill>
              <a:ln>
                <a:noFill/>
              </a:ln>
              <a:effectLst/>
            </c:spPr>
            <c:extLst>
              <c:ext xmlns:c16="http://schemas.microsoft.com/office/drawing/2014/chart" uri="{C3380CC4-5D6E-409C-BE32-E72D297353CC}">
                <c16:uniqueId val="{00000007-1869-4C63-8302-FF5064D53A7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('Wohngebäude_Moderater Preis'!$C$8,'Wohngebäude_Moderater Preis'!$D$8,'Wohngebäude_Moderater Preis'!$E$8,'Wohngebäude_Moderater Preis'!$F$8,'Wohngebäude_Moderater Preis'!$G$8)</c:f>
              <c:strCache>
                <c:ptCount val="5"/>
                <c:pt idx="0">
                  <c:v>Effizienz-Haus 40</c:v>
                </c:pt>
                <c:pt idx="1">
                  <c:v>Effizienz-Haus 55</c:v>
                </c:pt>
                <c:pt idx="2">
                  <c:v>Effizienz-Haus 70</c:v>
                </c:pt>
                <c:pt idx="3">
                  <c:v>Durchschnitt
Bestand Wohng. </c:v>
                </c:pt>
                <c:pt idx="4">
                  <c:v>EFH nicht saniert</c:v>
                </c:pt>
              </c:strCache>
            </c:strRef>
          </c:cat>
          <c:val>
            <c:numRef>
              <c:f>('Wohngebäude_Moderater Preis'!$C$11,'Wohngebäude_Moderater Preis'!$D$11,'Wohngebäude_Moderater Preis'!$E$11,'Wohngebäude_Moderater Preis'!$F$11,'Wohngebäude_Moderater Preis'!$G$11)</c:f>
              <c:numCache>
                <c:formatCode>_("€"* #,##0.00_);_("€"* \(#,##0.00\);_("€"* "-"??_);_(@_)</c:formatCode>
                <c:ptCount val="5"/>
                <c:pt idx="0">
                  <c:v>629.54701749429762</c:v>
                </c:pt>
                <c:pt idx="1">
                  <c:v>881.36582449201683</c:v>
                </c:pt>
                <c:pt idx="2">
                  <c:v>1133.1846314897359</c:v>
                </c:pt>
                <c:pt idx="3">
                  <c:v>3777.2821049657864</c:v>
                </c:pt>
                <c:pt idx="4">
                  <c:v>5665.9231574486794</c:v>
                </c:pt>
              </c:numCache>
            </c:numRef>
          </c:val>
          <c:extLst>
            <c:ext xmlns:c16="http://schemas.microsoft.com/office/drawing/2014/chart" uri="{C3380CC4-5D6E-409C-BE32-E72D297353CC}">
              <c16:uniqueId val="{00000008-1869-4C63-8302-FF5064D53A73}"/>
            </c:ext>
          </c:extLst>
        </c:ser>
        <c:ser>
          <c:idx val="1"/>
          <c:order val="1"/>
          <c:tx>
            <c:strRef>
              <c:f>'Wohngebäude_Moderater Preis'!$B$12</c:f>
              <c:strCache>
                <c:ptCount val="1"/>
                <c:pt idx="0">
                  <c:v>Zusatzkosten durch CO2-Bepreisung [€/20a]</c:v>
                </c:pt>
              </c:strCache>
            </c:strRef>
          </c:tx>
          <c:spPr>
            <a:solidFill>
              <a:srgbClr val="CC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A-1869-4C63-8302-FF5064D53A73}"/>
              </c:ext>
            </c:extLst>
          </c:dPt>
          <c:dPt>
            <c:idx val="1"/>
            <c:invertIfNegative val="0"/>
            <c:bubble3D val="0"/>
            <c:spPr>
              <a:solidFill>
                <a:srgbClr val="92D050"/>
              </a:solidFill>
              <a:ln>
                <a:noFill/>
              </a:ln>
              <a:effectLst/>
            </c:spPr>
            <c:extLst>
              <c:ext xmlns:c16="http://schemas.microsoft.com/office/drawing/2014/chart" uri="{C3380CC4-5D6E-409C-BE32-E72D297353CC}">
                <c16:uniqueId val="{0000000C-1869-4C63-8302-FF5064D53A73}"/>
              </c:ext>
            </c:extLst>
          </c:dPt>
          <c:dPt>
            <c:idx val="2"/>
            <c:invertIfNegative val="0"/>
            <c:bubble3D val="0"/>
            <c:spPr>
              <a:solidFill>
                <a:srgbClr val="F9CB07"/>
              </a:solidFill>
              <a:ln>
                <a:noFill/>
              </a:ln>
              <a:effectLst/>
            </c:spPr>
            <c:extLst>
              <c:ext xmlns:c16="http://schemas.microsoft.com/office/drawing/2014/chart" uri="{C3380CC4-5D6E-409C-BE32-E72D297353CC}">
                <c16:uniqueId val="{0000000E-1869-4C63-8302-FF5064D53A73}"/>
              </c:ext>
            </c:extLst>
          </c:dPt>
          <c:dPt>
            <c:idx val="3"/>
            <c:invertIfNegative val="0"/>
            <c:bubble3D val="0"/>
            <c:spPr>
              <a:solidFill>
                <a:srgbClr val="FF0000"/>
              </a:solidFill>
              <a:ln>
                <a:noFill/>
              </a:ln>
              <a:effectLst/>
            </c:spPr>
            <c:extLst>
              <c:ext xmlns:c16="http://schemas.microsoft.com/office/drawing/2014/chart" uri="{C3380CC4-5D6E-409C-BE32-E72D297353CC}">
                <c16:uniqueId val="{00000010-1869-4C63-8302-FF5064D53A7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('Wohngebäude_Moderater Preis'!$C$8,'Wohngebäude_Moderater Preis'!$D$8,'Wohngebäude_Moderater Preis'!$E$8,'Wohngebäude_Moderater Preis'!$F$8,'Wohngebäude_Moderater Preis'!$G$8)</c:f>
              <c:strCache>
                <c:ptCount val="5"/>
                <c:pt idx="0">
                  <c:v>Effizienz-Haus 40</c:v>
                </c:pt>
                <c:pt idx="1">
                  <c:v>Effizienz-Haus 55</c:v>
                </c:pt>
                <c:pt idx="2">
                  <c:v>Effizienz-Haus 70</c:v>
                </c:pt>
                <c:pt idx="3">
                  <c:v>Durchschnitt
Bestand Wohng. </c:v>
                </c:pt>
                <c:pt idx="4">
                  <c:v>EFH nicht saniert</c:v>
                </c:pt>
              </c:strCache>
            </c:strRef>
          </c:cat>
          <c:val>
            <c:numRef>
              <c:f>('Wohngebäude_Moderater Preis'!$C$12,'Wohngebäude_Moderater Preis'!$D$12,'Wohngebäude_Moderater Preis'!$E$12,'Wohngebäude_Moderater Preis'!$F$12,'Wohngebäude_Moderater Preis'!$G$12)</c:f>
              <c:numCache>
                <c:formatCode>_("€"* #,##0.00_);_("€"* \(#,##0.00\);_("€"* "-"??_);_(@_)</c:formatCode>
                <c:ptCount val="5"/>
                <c:pt idx="0">
                  <c:v>1857.2076643887294</c:v>
                </c:pt>
                <c:pt idx="1">
                  <c:v>2600.0907301442212</c:v>
                </c:pt>
                <c:pt idx="2">
                  <c:v>3342.973795899713</c:v>
                </c:pt>
                <c:pt idx="3">
                  <c:v>11143.245986332377</c:v>
                </c:pt>
                <c:pt idx="4">
                  <c:v>16714.868979498566</c:v>
                </c:pt>
              </c:numCache>
            </c:numRef>
          </c:val>
          <c:extLst>
            <c:ext xmlns:c16="http://schemas.microsoft.com/office/drawing/2014/chart" uri="{C3380CC4-5D6E-409C-BE32-E72D297353CC}">
              <c16:uniqueId val="{00000011-1869-4C63-8302-FF5064D53A73}"/>
            </c:ext>
          </c:extLst>
        </c:ser>
        <c:dLbls>
          <c:dLblPos val="outEnd"/>
          <c:showLegendKey val="0"/>
          <c:showVal val="1"/>
          <c:showCatName val="0"/>
          <c:showSerName val="0"/>
          <c:showPercent val="0"/>
          <c:showBubbleSize val="0"/>
        </c:dLbls>
        <c:gapWidth val="219"/>
        <c:overlap val="-27"/>
        <c:axId val="1489472608"/>
        <c:axId val="1696255136"/>
      </c:barChart>
      <c:catAx>
        <c:axId val="148947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696255136"/>
        <c:crosses val="autoZero"/>
        <c:auto val="1"/>
        <c:lblAlgn val="ctr"/>
        <c:lblOffset val="100"/>
        <c:noMultiLvlLbl val="0"/>
      </c:catAx>
      <c:valAx>
        <c:axId val="16962551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48947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DE" sz="1800" b="1" i="0" u="sng" baseline="0">
                <a:effectLst/>
              </a:rPr>
              <a:t>Zusatzkosten CO</a:t>
            </a:r>
            <a:r>
              <a:rPr lang="de-DE" sz="1200" b="1" i="0" u="sng" baseline="0">
                <a:effectLst/>
              </a:rPr>
              <a:t>2</a:t>
            </a:r>
            <a:r>
              <a:rPr lang="de-DE" sz="1800" b="1" i="0" u="sng" baseline="0">
                <a:effectLst/>
              </a:rPr>
              <a:t>-Bepreisung 10 Jahre vs. 20 Jahre</a:t>
            </a:r>
            <a:endParaRPr lang="de-DE" b="1" i="0" u="sng" baseline="0">
              <a:effectLst/>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'Wohngebäude_Hoher Preis'!$B$11</c:f>
              <c:strCache>
                <c:ptCount val="1"/>
                <c:pt idx="0">
                  <c:v>Zusatzkosten durch CO2-Bepreisung [€/10a] </c:v>
                </c:pt>
              </c:strCache>
            </c:strRef>
          </c:tx>
          <c:spPr>
            <a:pattFill prst="lgCheck">
              <a:fgClr>
                <a:srgbClr val="CC0000"/>
              </a:fgClr>
              <a:bgClr>
                <a:schemeClr val="bg1"/>
              </a:bgClr>
            </a:pattFill>
            <a:ln>
              <a:noFill/>
            </a:ln>
            <a:effectLst/>
          </c:spPr>
          <c:invertIfNegative val="0"/>
          <c:dPt>
            <c:idx val="0"/>
            <c:invertIfNegative val="0"/>
            <c:bubble3D val="0"/>
            <c:spPr>
              <a:pattFill prst="lgCheck">
                <a:fgClr>
                  <a:srgbClr val="00B050"/>
                </a:fgClr>
                <a:bgClr>
                  <a:schemeClr val="bg1"/>
                </a:bgClr>
              </a:pattFill>
              <a:ln>
                <a:noFill/>
              </a:ln>
              <a:effectLst/>
            </c:spPr>
            <c:extLst>
              <c:ext xmlns:c16="http://schemas.microsoft.com/office/drawing/2014/chart" uri="{C3380CC4-5D6E-409C-BE32-E72D297353CC}">
                <c16:uniqueId val="{00000005-CDBA-44DD-A298-E5E144717CE0}"/>
              </c:ext>
            </c:extLst>
          </c:dPt>
          <c:dPt>
            <c:idx val="1"/>
            <c:invertIfNegative val="0"/>
            <c:bubble3D val="0"/>
            <c:spPr>
              <a:pattFill prst="lgCheck">
                <a:fgClr>
                  <a:srgbClr val="92D050"/>
                </a:fgClr>
                <a:bgClr>
                  <a:schemeClr val="bg1"/>
                </a:bgClr>
              </a:pattFill>
              <a:ln>
                <a:noFill/>
              </a:ln>
              <a:effectLst/>
            </c:spPr>
            <c:extLst>
              <c:ext xmlns:c16="http://schemas.microsoft.com/office/drawing/2014/chart" uri="{C3380CC4-5D6E-409C-BE32-E72D297353CC}">
                <c16:uniqueId val="{00000007-CDBA-44DD-A298-E5E144717CE0}"/>
              </c:ext>
            </c:extLst>
          </c:dPt>
          <c:dPt>
            <c:idx val="2"/>
            <c:invertIfNegative val="0"/>
            <c:bubble3D val="0"/>
            <c:spPr>
              <a:pattFill prst="lgCheck">
                <a:fgClr>
                  <a:srgbClr val="F9CB07"/>
                </a:fgClr>
                <a:bgClr>
                  <a:schemeClr val="bg1"/>
                </a:bgClr>
              </a:pattFill>
              <a:ln>
                <a:noFill/>
              </a:ln>
              <a:effectLst/>
            </c:spPr>
            <c:extLst>
              <c:ext xmlns:c16="http://schemas.microsoft.com/office/drawing/2014/chart" uri="{C3380CC4-5D6E-409C-BE32-E72D297353CC}">
                <c16:uniqueId val="{00000009-CDBA-44DD-A298-E5E144717CE0}"/>
              </c:ext>
            </c:extLst>
          </c:dPt>
          <c:dPt>
            <c:idx val="3"/>
            <c:invertIfNegative val="0"/>
            <c:bubble3D val="0"/>
            <c:spPr>
              <a:pattFill prst="lgCheck">
                <a:fgClr>
                  <a:srgbClr val="FF0000"/>
                </a:fgClr>
                <a:bgClr>
                  <a:schemeClr val="bg1"/>
                </a:bgClr>
              </a:pattFill>
              <a:ln>
                <a:noFill/>
              </a:ln>
              <a:effectLst/>
            </c:spPr>
            <c:extLst>
              <c:ext xmlns:c16="http://schemas.microsoft.com/office/drawing/2014/chart" uri="{C3380CC4-5D6E-409C-BE32-E72D297353CC}">
                <c16:uniqueId val="{00000004-CDBA-44DD-A298-E5E144717CE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('Wohngebäude_Hoher Preis'!$C$8,'Wohngebäude_Hoher Preis'!$D$8,'Wohngebäude_Hoher Preis'!$E$8,'Wohngebäude_Hoher Preis'!$F$8,'Wohngebäude_Hoher Preis'!$G$8)</c:f>
              <c:strCache>
                <c:ptCount val="5"/>
                <c:pt idx="0">
                  <c:v>Effizienz-Haus 40</c:v>
                </c:pt>
                <c:pt idx="1">
                  <c:v>Effizienz-Haus 55</c:v>
                </c:pt>
                <c:pt idx="2">
                  <c:v>Effizienz-Haus 70</c:v>
                </c:pt>
                <c:pt idx="3">
                  <c:v>Durchschnitt
Bestand Wohng. </c:v>
                </c:pt>
                <c:pt idx="4">
                  <c:v>EFH nicht saniert</c:v>
                </c:pt>
              </c:strCache>
            </c:strRef>
          </c:cat>
          <c:val>
            <c:numRef>
              <c:f>('Wohngebäude_Hoher Preis'!$C$11,'Wohngebäude_Hoher Preis'!$D$11,'Wohngebäude_Hoher Preis'!$E$11,'Wohngebäude_Hoher Preis'!$F$11,'Wohngebäude_Hoher Preis'!$G$11)</c:f>
              <c:numCache>
                <c:formatCode>_("€"* #,##0.00_);_("€"* \(#,##0.00\);_("€"* "-"??_);_(@_)</c:formatCode>
                <c:ptCount val="5"/>
                <c:pt idx="0">
                  <c:v>752.64280303787552</c:v>
                </c:pt>
                <c:pt idx="1">
                  <c:v>1053.6999242530258</c:v>
                </c:pt>
                <c:pt idx="2">
                  <c:v>1354.7570454681761</c:v>
                </c:pt>
                <c:pt idx="3">
                  <c:v>4515.8568182272529</c:v>
                </c:pt>
                <c:pt idx="4">
                  <c:v>6773.7852273408807</c:v>
                </c:pt>
              </c:numCache>
            </c:numRef>
          </c:val>
          <c:extLst>
            <c:ext xmlns:c16="http://schemas.microsoft.com/office/drawing/2014/chart" uri="{C3380CC4-5D6E-409C-BE32-E72D297353CC}">
              <c16:uniqueId val="{00000000-CDBA-44DD-A298-E5E144717CE0}"/>
            </c:ext>
          </c:extLst>
        </c:ser>
        <c:ser>
          <c:idx val="1"/>
          <c:order val="1"/>
          <c:tx>
            <c:strRef>
              <c:f>'Wohngebäude_Hoher Preis'!$B$12</c:f>
              <c:strCache>
                <c:ptCount val="1"/>
                <c:pt idx="0">
                  <c:v>Zusatzkosten durch CO2-Bepreisung [€/20a]</c:v>
                </c:pt>
              </c:strCache>
            </c:strRef>
          </c:tx>
          <c:spPr>
            <a:solidFill>
              <a:srgbClr val="CC0000"/>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6-CDBA-44DD-A298-E5E144717CE0}"/>
              </c:ext>
            </c:extLst>
          </c:dPt>
          <c:dPt>
            <c:idx val="1"/>
            <c:invertIfNegative val="0"/>
            <c:bubble3D val="0"/>
            <c:spPr>
              <a:solidFill>
                <a:srgbClr val="92D050"/>
              </a:solidFill>
              <a:ln>
                <a:noFill/>
              </a:ln>
              <a:effectLst/>
            </c:spPr>
            <c:extLst>
              <c:ext xmlns:c16="http://schemas.microsoft.com/office/drawing/2014/chart" uri="{C3380CC4-5D6E-409C-BE32-E72D297353CC}">
                <c16:uniqueId val="{00000008-CDBA-44DD-A298-E5E144717CE0}"/>
              </c:ext>
            </c:extLst>
          </c:dPt>
          <c:dPt>
            <c:idx val="2"/>
            <c:invertIfNegative val="0"/>
            <c:bubble3D val="0"/>
            <c:spPr>
              <a:solidFill>
                <a:srgbClr val="F9CB07"/>
              </a:solidFill>
              <a:ln>
                <a:noFill/>
              </a:ln>
              <a:effectLst/>
            </c:spPr>
            <c:extLst>
              <c:ext xmlns:c16="http://schemas.microsoft.com/office/drawing/2014/chart" uri="{C3380CC4-5D6E-409C-BE32-E72D297353CC}">
                <c16:uniqueId val="{0000000A-CDBA-44DD-A298-E5E144717CE0}"/>
              </c:ext>
            </c:extLst>
          </c:dPt>
          <c:dPt>
            <c:idx val="3"/>
            <c:invertIfNegative val="0"/>
            <c:bubble3D val="0"/>
            <c:spPr>
              <a:solidFill>
                <a:srgbClr val="FF0000"/>
              </a:solidFill>
              <a:ln>
                <a:noFill/>
              </a:ln>
              <a:effectLst/>
            </c:spPr>
            <c:extLst>
              <c:ext xmlns:c16="http://schemas.microsoft.com/office/drawing/2014/chart" uri="{C3380CC4-5D6E-409C-BE32-E72D297353CC}">
                <c16:uniqueId val="{00000003-CDBA-44DD-A298-E5E144717CE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('Wohngebäude_Hoher Preis'!$C$8,'Wohngebäude_Hoher Preis'!$D$8,'Wohngebäude_Hoher Preis'!$E$8,'Wohngebäude_Hoher Preis'!$F$8,'Wohngebäude_Hoher Preis'!$G$8)</c:f>
              <c:strCache>
                <c:ptCount val="5"/>
                <c:pt idx="0">
                  <c:v>Effizienz-Haus 40</c:v>
                </c:pt>
                <c:pt idx="1">
                  <c:v>Effizienz-Haus 55</c:v>
                </c:pt>
                <c:pt idx="2">
                  <c:v>Effizienz-Haus 70</c:v>
                </c:pt>
                <c:pt idx="3">
                  <c:v>Durchschnitt
Bestand Wohng. </c:v>
                </c:pt>
                <c:pt idx="4">
                  <c:v>EFH nicht saniert</c:v>
                </c:pt>
              </c:strCache>
            </c:strRef>
          </c:cat>
          <c:val>
            <c:numRef>
              <c:f>('Wohngebäude_Hoher Preis'!$C$12,'Wohngebäude_Hoher Preis'!$D$12,'Wohngebäude_Hoher Preis'!$E$12,'Wohngebäude_Hoher Preis'!$F$12,'Wohngebäude_Hoher Preis'!$G$12)</c:f>
              <c:numCache>
                <c:formatCode>_("€"* #,##0.00_);_("€"* \(#,##0.00\);_("€"* "-"??_);_(@_)</c:formatCode>
                <c:ptCount val="5"/>
                <c:pt idx="0">
                  <c:v>2529.8382068232791</c:v>
                </c:pt>
                <c:pt idx="1">
                  <c:v>3541.7734895525905</c:v>
                </c:pt>
                <c:pt idx="2">
                  <c:v>4553.7087722819024</c:v>
                </c:pt>
                <c:pt idx="3">
                  <c:v>15179.029240939673</c:v>
                </c:pt>
                <c:pt idx="4">
                  <c:v>22768.543861409515</c:v>
                </c:pt>
              </c:numCache>
            </c:numRef>
          </c:val>
          <c:extLst>
            <c:ext xmlns:c16="http://schemas.microsoft.com/office/drawing/2014/chart" uri="{C3380CC4-5D6E-409C-BE32-E72D297353CC}">
              <c16:uniqueId val="{00000001-CDBA-44DD-A298-E5E144717CE0}"/>
            </c:ext>
          </c:extLst>
        </c:ser>
        <c:dLbls>
          <c:dLblPos val="outEnd"/>
          <c:showLegendKey val="0"/>
          <c:showVal val="1"/>
          <c:showCatName val="0"/>
          <c:showSerName val="0"/>
          <c:showPercent val="0"/>
          <c:showBubbleSize val="0"/>
        </c:dLbls>
        <c:gapWidth val="219"/>
        <c:overlap val="-27"/>
        <c:axId val="1489472608"/>
        <c:axId val="1696255136"/>
      </c:barChart>
      <c:catAx>
        <c:axId val="148947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696255136"/>
        <c:crosses val="autoZero"/>
        <c:auto val="1"/>
        <c:lblAlgn val="ctr"/>
        <c:lblOffset val="100"/>
        <c:noMultiLvlLbl val="0"/>
      </c:catAx>
      <c:valAx>
        <c:axId val="16962551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48947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image" Target="../media/image8.png"/><Relationship Id="rId2" Type="http://schemas.openxmlformats.org/officeDocument/2006/relationships/chart" Target="../charts/chart3.xml"/><Relationship Id="rId1" Type="http://schemas.openxmlformats.org/officeDocument/2006/relationships/image" Target="../media/image5.png"/><Relationship Id="rId6" Type="http://schemas.openxmlformats.org/officeDocument/2006/relationships/chart" Target="../charts/chart5.xml"/><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15</xdr:col>
      <xdr:colOff>255944</xdr:colOff>
      <xdr:row>0</xdr:row>
      <xdr:rowOff>0</xdr:rowOff>
    </xdr:from>
    <xdr:to>
      <xdr:col>19</xdr:col>
      <xdr:colOff>288640</xdr:colOff>
      <xdr:row>2</xdr:row>
      <xdr:rowOff>472440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783224" y="0"/>
          <a:ext cx="4170356" cy="1371600"/>
        </a:xfrm>
        <a:prstGeom prst="rect">
          <a:avLst/>
        </a:prstGeom>
      </xdr:spPr>
    </xdr:pic>
    <xdr:clientData/>
  </xdr:twoCellAnchor>
  <xdr:twoCellAnchor editAs="oneCell">
    <xdr:from>
      <xdr:col>13</xdr:col>
      <xdr:colOff>545210</xdr:colOff>
      <xdr:row>0</xdr:row>
      <xdr:rowOff>0</xdr:rowOff>
    </xdr:from>
    <xdr:to>
      <xdr:col>14</xdr:col>
      <xdr:colOff>1066886</xdr:colOff>
      <xdr:row>2</xdr:row>
      <xdr:rowOff>476424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52050" y="0"/>
          <a:ext cx="2281896" cy="1375584"/>
        </a:xfrm>
        <a:prstGeom prst="rect">
          <a:avLst/>
        </a:prstGeom>
      </xdr:spPr>
    </xdr:pic>
    <xdr:clientData/>
  </xdr:twoCellAnchor>
  <xdr:twoCellAnchor>
    <xdr:from>
      <xdr:col>0</xdr:col>
      <xdr:colOff>25047</xdr:colOff>
      <xdr:row>42</xdr:row>
      <xdr:rowOff>914490</xdr:rowOff>
    </xdr:from>
    <xdr:to>
      <xdr:col>1</xdr:col>
      <xdr:colOff>859456</xdr:colOff>
      <xdr:row>42</xdr:row>
      <xdr:rowOff>1351825</xdr:rowOff>
    </xdr:to>
    <xdr:pic>
      <xdr:nvPicPr>
        <xdr:cNvPr id="4" name="Bild 2" descr="Creative Commons Lizenzvertra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047" y="11668215"/>
          <a:ext cx="1224934" cy="437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9525</xdr:colOff>
      <xdr:row>3</xdr:row>
      <xdr:rowOff>38100</xdr:rowOff>
    </xdr:from>
    <xdr:to>
      <xdr:col>16</xdr:col>
      <xdr:colOff>9525</xdr:colOff>
      <xdr:row>23</xdr:row>
      <xdr:rowOff>88230</xdr:rowOff>
    </xdr:to>
    <xdr:pic>
      <xdr:nvPicPr>
        <xdr:cNvPr id="7" name="Grafik 6">
          <a:extLst>
            <a:ext uri="{FF2B5EF4-FFF2-40B4-BE49-F238E27FC236}">
              <a16:creationId xmlns:a16="http://schemas.microsoft.com/office/drawing/2014/main" id="{B03BB601-8D03-4755-8E65-5D350D89CB5D}"/>
            </a:ext>
          </a:extLst>
        </xdr:cNvPr>
        <xdr:cNvPicPr>
          <a:picLocks noChangeAspect="1"/>
        </xdr:cNvPicPr>
      </xdr:nvPicPr>
      <xdr:blipFill>
        <a:blip xmlns:r="http://schemas.openxmlformats.org/officeDocument/2006/relationships" r:embed="rId4"/>
        <a:stretch>
          <a:fillRect/>
        </a:stretch>
      </xdr:blipFill>
      <xdr:spPr>
        <a:xfrm>
          <a:off x="9267825" y="1562100"/>
          <a:ext cx="5286375" cy="4079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7620</xdr:colOff>
      <xdr:row>3</xdr:row>
      <xdr:rowOff>30480</xdr:rowOff>
    </xdr:from>
    <xdr:to>
      <xdr:col>24</xdr:col>
      <xdr:colOff>747167</xdr:colOff>
      <xdr:row>23</xdr:row>
      <xdr:rowOff>167985</xdr:rowOff>
    </xdr:to>
    <xdr:pic>
      <xdr:nvPicPr>
        <xdr:cNvPr id="2" name="Grafik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4051280" y="579120"/>
          <a:ext cx="4701947" cy="39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207819</xdr:colOff>
      <xdr:row>18</xdr:row>
      <xdr:rowOff>135082</xdr:rowOff>
    </xdr:from>
    <xdr:to>
      <xdr:col>17</xdr:col>
      <xdr:colOff>10887</xdr:colOff>
      <xdr:row>42</xdr:row>
      <xdr:rowOff>10886</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441248</xdr:colOff>
      <xdr:row>0</xdr:row>
      <xdr:rowOff>26894</xdr:rowOff>
    </xdr:from>
    <xdr:to>
      <xdr:col>16</xdr:col>
      <xdr:colOff>1156553</xdr:colOff>
      <xdr:row>0</xdr:row>
      <xdr:rowOff>1102659</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t="10557" b="13432"/>
        <a:stretch/>
      </xdr:blipFill>
      <xdr:spPr>
        <a:xfrm>
          <a:off x="15591601" y="26894"/>
          <a:ext cx="4283258" cy="1075765"/>
        </a:xfrm>
        <a:prstGeom prst="rect">
          <a:avLst/>
        </a:prstGeom>
      </xdr:spPr>
    </xdr:pic>
    <xdr:clientData/>
  </xdr:twoCellAnchor>
  <xdr:twoCellAnchor>
    <xdr:from>
      <xdr:col>10</xdr:col>
      <xdr:colOff>205740</xdr:colOff>
      <xdr:row>42</xdr:row>
      <xdr:rowOff>266700</xdr:rowOff>
    </xdr:from>
    <xdr:to>
      <xdr:col>16</xdr:col>
      <xdr:colOff>1409700</xdr:colOff>
      <xdr:row>44</xdr:row>
      <xdr:rowOff>8466</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1</xdr:row>
      <xdr:rowOff>152400</xdr:rowOff>
    </xdr:from>
    <xdr:to>
      <xdr:col>8</xdr:col>
      <xdr:colOff>46876</xdr:colOff>
      <xdr:row>22</xdr:row>
      <xdr:rowOff>91768</xdr:rowOff>
    </xdr:to>
    <xdr:pic>
      <xdr:nvPicPr>
        <xdr:cNvPr id="13" name="Grafik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stretch>
          <a:fillRect/>
        </a:stretch>
      </xdr:blipFill>
      <xdr:spPr>
        <a:xfrm>
          <a:off x="419100" y="335280"/>
          <a:ext cx="8004742" cy="3779848"/>
        </a:xfrm>
        <a:prstGeom prst="rect">
          <a:avLst/>
        </a:prstGeom>
      </xdr:spPr>
    </xdr:pic>
    <xdr:clientData/>
  </xdr:twoCellAnchor>
  <xdr:twoCellAnchor>
    <xdr:from>
      <xdr:col>1</xdr:col>
      <xdr:colOff>62865</xdr:colOff>
      <xdr:row>37</xdr:row>
      <xdr:rowOff>23813</xdr:rowOff>
    </xdr:from>
    <xdr:to>
      <xdr:col>11</xdr:col>
      <xdr:colOff>47625</xdr:colOff>
      <xdr:row>59</xdr:row>
      <xdr:rowOff>92393</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54428</xdr:colOff>
      <xdr:row>60</xdr:row>
      <xdr:rowOff>97972</xdr:rowOff>
    </xdr:from>
    <xdr:to>
      <xdr:col>11</xdr:col>
      <xdr:colOff>33035</xdr:colOff>
      <xdr:row>82</xdr:row>
      <xdr:rowOff>176965</xdr:rowOff>
    </xdr:to>
    <xdr:graphicFrame macro="">
      <xdr:nvGraphicFramePr>
        <xdr:cNvPr id="10" name="Diagramm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315686</xdr:colOff>
      <xdr:row>64</xdr:row>
      <xdr:rowOff>130628</xdr:rowOff>
    </xdr:from>
    <xdr:to>
      <xdr:col>19</xdr:col>
      <xdr:colOff>351657</xdr:colOff>
      <xdr:row>87</xdr:row>
      <xdr:rowOff>38243</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4"/>
        <a:stretch>
          <a:fillRect/>
        </a:stretch>
      </xdr:blipFill>
      <xdr:spPr>
        <a:xfrm>
          <a:off x="11310257" y="11996057"/>
          <a:ext cx="8102286" cy="4163929"/>
        </a:xfrm>
        <a:prstGeom prst="rect">
          <a:avLst/>
        </a:prstGeom>
      </xdr:spPr>
    </xdr:pic>
    <xdr:clientData/>
  </xdr:twoCellAnchor>
  <xdr:twoCellAnchor editAs="oneCell">
    <xdr:from>
      <xdr:col>19</xdr:col>
      <xdr:colOff>370113</xdr:colOff>
      <xdr:row>64</xdr:row>
      <xdr:rowOff>152400</xdr:rowOff>
    </xdr:from>
    <xdr:to>
      <xdr:col>29</xdr:col>
      <xdr:colOff>774932</xdr:colOff>
      <xdr:row>87</xdr:row>
      <xdr:rowOff>60015</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a:stretch>
          <a:fillRect/>
        </a:stretch>
      </xdr:blipFill>
      <xdr:spPr>
        <a:xfrm>
          <a:off x="19430999" y="12017829"/>
          <a:ext cx="8547333" cy="4163929"/>
        </a:xfrm>
        <a:prstGeom prst="rect">
          <a:avLst/>
        </a:prstGeom>
      </xdr:spPr>
    </xdr:pic>
    <xdr:clientData/>
  </xdr:twoCellAnchor>
  <xdr:twoCellAnchor>
    <xdr:from>
      <xdr:col>1</xdr:col>
      <xdr:colOff>21771</xdr:colOff>
      <xdr:row>89</xdr:row>
      <xdr:rowOff>10886</xdr:rowOff>
    </xdr:from>
    <xdr:to>
      <xdr:col>10</xdr:col>
      <xdr:colOff>849086</xdr:colOff>
      <xdr:row>110</xdr:row>
      <xdr:rowOff>65919</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0</xdr:colOff>
      <xdr:row>91</xdr:row>
      <xdr:rowOff>108858</xdr:rowOff>
    </xdr:from>
    <xdr:to>
      <xdr:col>19</xdr:col>
      <xdr:colOff>456632</xdr:colOff>
      <xdr:row>112</xdr:row>
      <xdr:rowOff>179305</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7"/>
        <a:stretch>
          <a:fillRect/>
        </a:stretch>
      </xdr:blipFill>
      <xdr:spPr>
        <a:xfrm>
          <a:off x="10994571" y="16970829"/>
          <a:ext cx="8522947" cy="39566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781274</xdr:colOff>
      <xdr:row>7</xdr:row>
      <xdr:rowOff>129092</xdr:rowOff>
    </xdr:from>
    <xdr:to>
      <xdr:col>6</xdr:col>
      <xdr:colOff>12550</xdr:colOff>
      <xdr:row>26</xdr:row>
      <xdr:rowOff>167192</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108857</xdr:colOff>
      <xdr:row>0</xdr:row>
      <xdr:rowOff>97971</xdr:rowOff>
    </xdr:from>
    <xdr:to>
      <xdr:col>14</xdr:col>
      <xdr:colOff>401432</xdr:colOff>
      <xdr:row>6</xdr:row>
      <xdr:rowOff>228600</xdr:rowOff>
    </xdr:to>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2540343" y="97971"/>
          <a:ext cx="6640307" cy="2171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63499</xdr:colOff>
      <xdr:row>14</xdr:row>
      <xdr:rowOff>57151</xdr:rowOff>
    </xdr:from>
    <xdr:to>
      <xdr:col>5</xdr:col>
      <xdr:colOff>430389</xdr:colOff>
      <xdr:row>32</xdr:row>
      <xdr:rowOff>148167</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63499</xdr:colOff>
      <xdr:row>14</xdr:row>
      <xdr:rowOff>57151</xdr:rowOff>
    </xdr:from>
    <xdr:to>
      <xdr:col>5</xdr:col>
      <xdr:colOff>430389</xdr:colOff>
      <xdr:row>34</xdr:row>
      <xdr:rowOff>166255</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63499</xdr:colOff>
      <xdr:row>14</xdr:row>
      <xdr:rowOff>57151</xdr:rowOff>
    </xdr:from>
    <xdr:to>
      <xdr:col>5</xdr:col>
      <xdr:colOff>430389</xdr:colOff>
      <xdr:row>32</xdr:row>
      <xdr:rowOff>148167</xdr:rowOff>
    </xdr:to>
    <xdr:graphicFrame macro="">
      <xdr:nvGraphicFramePr>
        <xdr:cNvPr id="7" name="Diagramm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781274</xdr:colOff>
      <xdr:row>7</xdr:row>
      <xdr:rowOff>129092</xdr:rowOff>
    </xdr:from>
    <xdr:to>
      <xdr:col>8</xdr:col>
      <xdr:colOff>12550</xdr:colOff>
      <xdr:row>26</xdr:row>
      <xdr:rowOff>167192</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670560</xdr:colOff>
      <xdr:row>0</xdr:row>
      <xdr:rowOff>0</xdr:rowOff>
    </xdr:from>
    <xdr:to>
      <xdr:col>14</xdr:col>
      <xdr:colOff>762670</xdr:colOff>
      <xdr:row>27</xdr:row>
      <xdr:rowOff>48965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7223760" y="0"/>
          <a:ext cx="7224430" cy="53524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1 3">
    <a:dk1>
      <a:srgbClr val="000000"/>
    </a:dk1>
    <a:lt1>
      <a:srgbClr val="FFFFFF"/>
    </a:lt1>
    <a:dk2>
      <a:srgbClr val="006CA6"/>
    </a:dk2>
    <a:lt2>
      <a:srgbClr val="67B3E1"/>
    </a:lt2>
    <a:accent1>
      <a:srgbClr val="A3AF00"/>
    </a:accent1>
    <a:accent2>
      <a:srgbClr val="C2CF00"/>
    </a:accent2>
    <a:accent3>
      <a:srgbClr val="F1F5D9"/>
    </a:accent3>
    <a:accent4>
      <a:srgbClr val="0083C9"/>
    </a:accent4>
    <a:accent5>
      <a:srgbClr val="67B3DF"/>
    </a:accent5>
    <a:accent6>
      <a:srgbClr val="006CA6"/>
    </a:accent6>
    <a:hlink>
      <a:srgbClr val="006CA6"/>
    </a:hlink>
    <a:folHlink>
      <a:srgbClr val="006CA6"/>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mu.de/fileadmin/Daten_BMU/Download_PDF/Glaeserne_Gesetze/19._Lp/ehv_2030/Entwurf/ehv_2030_refe_bf.pdf" TargetMode="External"/><Relationship Id="rId1" Type="http://schemas.openxmlformats.org/officeDocument/2006/relationships/hyperlink" Target="https://www.bmu.de/fileadmin/Daten_BMU/Download_PDF/Glaeserne_Gesetze/19._Lp/ehv_2030/Entwurf/ehv_2030_refe_bf.pdf%20(letzter%20Zugriff%2022.01.202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de.wikipedia.org/wiki/Bioethano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gammel.de/de/lexikon/Heizwert---Brennwert/4838" TargetMode="External"/><Relationship Id="rId1" Type="http://schemas.openxmlformats.org/officeDocument/2006/relationships/hyperlink" Target="https://www.bdbe.de/daten/umrechnung-und-formel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bmwsb.bund.de/SharedDocs/downloads/Webs/BMWSB/DE/veroeffentlichungen/pflichtinformation-geg.pdf;jsessionid=0D3F3FCFD53A05A30076107CDC7B9B97.live861?__blob=publicationFile&amp;v=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bmwsb.bund.de/SharedDocs/downloads/Webs/BMWSB/DE/veroeffentlichungen/pflichtinformation-geg.pdf;jsessionid=0D3F3FCFD53A05A30076107CDC7B9B97.live861?__blob=publicationFile&amp;v=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bmwsb.bund.de/SharedDocs/downloads/Webs/BMWSB/DE/veroeffentlichungen/pflichtinformation-geg.pdf;jsessionid=0D3F3FCFD53A05A30076107CDC7B9B97.live861?__blob=publicationFile&amp;v=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8B5F-CDAC-4886-B75C-404DFCD3283E}">
  <sheetPr>
    <tabColor rgb="FF0070C0"/>
    <pageSetUpPr fitToPage="1"/>
  </sheetPr>
  <dimension ref="A1:T105"/>
  <sheetViews>
    <sheetView showGridLines="0" tabSelected="1" zoomScale="85" zoomScaleNormal="85" workbookViewId="0">
      <selection activeCell="A4" sqref="A4:L21"/>
    </sheetView>
  </sheetViews>
  <sheetFormatPr baseColWidth="10" defaultColWidth="11.5546875" defaultRowHeight="14.4" x14ac:dyDescent="0.3"/>
  <cols>
    <col min="1" max="1" width="5.6640625" style="52" customWidth="1"/>
    <col min="2" max="2" width="15.109375" style="52" customWidth="1"/>
    <col min="3" max="3" width="2.6640625" style="52" customWidth="1"/>
    <col min="4" max="4" width="15.5546875" style="52" customWidth="1"/>
    <col min="5" max="11" width="11.5546875" style="52"/>
    <col min="12" max="12" width="11.44140625" style="52" customWidth="1"/>
    <col min="13" max="13" width="3.88671875" style="52" customWidth="1"/>
    <col min="14" max="16" width="25.6640625" style="53" customWidth="1"/>
    <col min="17" max="16384" width="11.5546875" style="51"/>
  </cols>
  <sheetData>
    <row r="1" spans="1:20" s="55" customFormat="1" ht="35.4" customHeight="1" x14ac:dyDescent="0.3">
      <c r="A1" s="150" t="s">
        <v>203</v>
      </c>
      <c r="B1" s="150"/>
      <c r="C1" s="150"/>
      <c r="D1" s="150"/>
      <c r="E1" s="150"/>
      <c r="F1" s="150"/>
      <c r="G1" s="150"/>
      <c r="H1" s="150"/>
      <c r="I1" s="150"/>
      <c r="J1" s="150"/>
      <c r="K1" s="150"/>
      <c r="L1" s="150"/>
      <c r="M1" s="88"/>
      <c r="N1" s="88"/>
      <c r="O1" s="88"/>
      <c r="P1" s="88"/>
      <c r="Q1" s="88"/>
      <c r="R1" s="88"/>
      <c r="S1" s="88"/>
      <c r="T1" s="88"/>
    </row>
    <row r="2" spans="1:20" s="55" customFormat="1" ht="35.4" customHeight="1" x14ac:dyDescent="0.3">
      <c r="A2" s="150"/>
      <c r="B2" s="150"/>
      <c r="C2" s="150"/>
      <c r="D2" s="150"/>
      <c r="E2" s="150"/>
      <c r="F2" s="150"/>
      <c r="G2" s="150"/>
      <c r="H2" s="150"/>
      <c r="I2" s="150"/>
      <c r="J2" s="150"/>
      <c r="K2" s="150"/>
      <c r="L2" s="150"/>
      <c r="M2" s="88"/>
      <c r="N2" s="88"/>
      <c r="O2" s="88"/>
      <c r="P2" s="88"/>
      <c r="Q2" s="88"/>
      <c r="R2" s="88"/>
      <c r="S2" s="88"/>
      <c r="T2" s="88"/>
    </row>
    <row r="3" spans="1:20" s="55" customFormat="1" ht="49.2" customHeight="1" x14ac:dyDescent="0.3">
      <c r="A3" s="150"/>
      <c r="B3" s="150"/>
      <c r="C3" s="150"/>
      <c r="D3" s="150"/>
      <c r="E3" s="150"/>
      <c r="F3" s="150"/>
      <c r="G3" s="150"/>
      <c r="H3" s="150"/>
      <c r="I3" s="150"/>
      <c r="J3" s="150"/>
      <c r="K3" s="150"/>
      <c r="L3" s="150"/>
      <c r="M3" s="88"/>
      <c r="N3" s="88"/>
      <c r="O3" s="88"/>
      <c r="P3" s="88"/>
      <c r="Q3" s="88"/>
      <c r="R3" s="88"/>
      <c r="S3" s="88"/>
      <c r="T3" s="88"/>
    </row>
    <row r="4" spans="1:20" ht="27.15" customHeight="1" x14ac:dyDescent="0.3">
      <c r="A4" s="154" t="s">
        <v>289</v>
      </c>
      <c r="B4" s="154"/>
      <c r="C4" s="154"/>
      <c r="D4" s="154"/>
      <c r="E4" s="154"/>
      <c r="F4" s="154"/>
      <c r="G4" s="154"/>
      <c r="H4" s="154"/>
      <c r="I4" s="154"/>
      <c r="J4" s="154"/>
      <c r="K4" s="154"/>
      <c r="L4" s="154"/>
      <c r="M4" s="128"/>
      <c r="O4" s="54"/>
    </row>
    <row r="5" spans="1:20" ht="14.4" customHeight="1" x14ac:dyDescent="0.3">
      <c r="A5" s="154"/>
      <c r="B5" s="154"/>
      <c r="C5" s="154"/>
      <c r="D5" s="154"/>
      <c r="E5" s="154"/>
      <c r="F5" s="154"/>
      <c r="G5" s="154"/>
      <c r="H5" s="154"/>
      <c r="I5" s="154"/>
      <c r="J5" s="154"/>
      <c r="K5" s="154"/>
      <c r="L5" s="154"/>
      <c r="M5" s="128"/>
      <c r="Q5" s="57"/>
    </row>
    <row r="6" spans="1:20" ht="14.4" customHeight="1" x14ac:dyDescent="0.3">
      <c r="A6" s="154"/>
      <c r="B6" s="154"/>
      <c r="C6" s="154"/>
      <c r="D6" s="154"/>
      <c r="E6" s="154"/>
      <c r="F6" s="154"/>
      <c r="G6" s="154"/>
      <c r="H6" s="154"/>
      <c r="I6" s="154"/>
      <c r="J6" s="154"/>
      <c r="K6" s="154"/>
      <c r="L6" s="154"/>
      <c r="M6" s="128"/>
    </row>
    <row r="7" spans="1:20" ht="14.4" customHeight="1" x14ac:dyDescent="0.3">
      <c r="A7" s="154"/>
      <c r="B7" s="154"/>
      <c r="C7" s="154"/>
      <c r="D7" s="154"/>
      <c r="E7" s="154"/>
      <c r="F7" s="154"/>
      <c r="G7" s="154"/>
      <c r="H7" s="154"/>
      <c r="I7" s="154"/>
      <c r="J7" s="154"/>
      <c r="K7" s="154"/>
      <c r="L7" s="154"/>
      <c r="M7" s="128"/>
    </row>
    <row r="8" spans="1:20" ht="14.4" customHeight="1" x14ac:dyDescent="0.3">
      <c r="A8" s="154"/>
      <c r="B8" s="154"/>
      <c r="C8" s="154"/>
      <c r="D8" s="154"/>
      <c r="E8" s="154"/>
      <c r="F8" s="154"/>
      <c r="G8" s="154"/>
      <c r="H8" s="154"/>
      <c r="I8" s="154"/>
      <c r="J8" s="154"/>
      <c r="K8" s="154"/>
      <c r="L8" s="154"/>
      <c r="M8" s="128"/>
    </row>
    <row r="9" spans="1:20" ht="14.4" customHeight="1" x14ac:dyDescent="0.3">
      <c r="A9" s="154"/>
      <c r="B9" s="154"/>
      <c r="C9" s="154"/>
      <c r="D9" s="154"/>
      <c r="E9" s="154"/>
      <c r="F9" s="154"/>
      <c r="G9" s="154"/>
      <c r="H9" s="154"/>
      <c r="I9" s="154"/>
      <c r="J9" s="154"/>
      <c r="K9" s="154"/>
      <c r="L9" s="154"/>
      <c r="M9" s="128"/>
    </row>
    <row r="10" spans="1:20" ht="6.6" customHeight="1" x14ac:dyDescent="0.3">
      <c r="A10" s="154"/>
      <c r="B10" s="154"/>
      <c r="C10" s="154"/>
      <c r="D10" s="154"/>
      <c r="E10" s="154"/>
      <c r="F10" s="154"/>
      <c r="G10" s="154"/>
      <c r="H10" s="154"/>
      <c r="I10" s="154"/>
      <c r="J10" s="154"/>
      <c r="K10" s="154"/>
      <c r="L10" s="154"/>
      <c r="M10" s="128"/>
    </row>
    <row r="11" spans="1:20" ht="14.4" customHeight="1" x14ac:dyDescent="0.3">
      <c r="A11" s="154"/>
      <c r="B11" s="154"/>
      <c r="C11" s="154"/>
      <c r="D11" s="154"/>
      <c r="E11" s="154"/>
      <c r="F11" s="154"/>
      <c r="G11" s="154"/>
      <c r="H11" s="154"/>
      <c r="I11" s="154"/>
      <c r="J11" s="154"/>
      <c r="K11" s="154"/>
      <c r="L11" s="154"/>
      <c r="M11" s="128"/>
    </row>
    <row r="12" spans="1:20" ht="14.4" customHeight="1" x14ac:dyDescent="0.3">
      <c r="A12" s="154"/>
      <c r="B12" s="154"/>
      <c r="C12" s="154"/>
      <c r="D12" s="154"/>
      <c r="E12" s="154"/>
      <c r="F12" s="154"/>
      <c r="G12" s="154"/>
      <c r="H12" s="154"/>
      <c r="I12" s="154"/>
      <c r="J12" s="154"/>
      <c r="K12" s="154"/>
      <c r="L12" s="154"/>
      <c r="M12" s="128"/>
    </row>
    <row r="13" spans="1:20" ht="14.4" customHeight="1" x14ac:dyDescent="0.3">
      <c r="A13" s="154"/>
      <c r="B13" s="154"/>
      <c r="C13" s="154"/>
      <c r="D13" s="154"/>
      <c r="E13" s="154"/>
      <c r="F13" s="154"/>
      <c r="G13" s="154"/>
      <c r="H13" s="154"/>
      <c r="I13" s="154"/>
      <c r="J13" s="154"/>
      <c r="K13" s="154"/>
      <c r="L13" s="154"/>
      <c r="M13" s="128"/>
    </row>
    <row r="14" spans="1:20" ht="14.4" customHeight="1" x14ac:dyDescent="0.3">
      <c r="A14" s="154"/>
      <c r="B14" s="154"/>
      <c r="C14" s="154"/>
      <c r="D14" s="154"/>
      <c r="E14" s="154"/>
      <c r="F14" s="154"/>
      <c r="G14" s="154"/>
      <c r="H14" s="154"/>
      <c r="I14" s="154"/>
      <c r="J14" s="154"/>
      <c r="K14" s="154"/>
      <c r="L14" s="154"/>
      <c r="M14" s="128"/>
    </row>
    <row r="15" spans="1:20" ht="14.4" customHeight="1" x14ac:dyDescent="0.3">
      <c r="A15" s="154"/>
      <c r="B15" s="154"/>
      <c r="C15" s="154"/>
      <c r="D15" s="154"/>
      <c r="E15" s="154"/>
      <c r="F15" s="154"/>
      <c r="G15" s="154"/>
      <c r="H15" s="154"/>
      <c r="I15" s="154"/>
      <c r="J15" s="154"/>
      <c r="K15" s="154"/>
      <c r="L15" s="154"/>
      <c r="M15" s="128"/>
    </row>
    <row r="16" spans="1:20" ht="14.4" customHeight="1" x14ac:dyDescent="0.3">
      <c r="A16" s="154"/>
      <c r="B16" s="154"/>
      <c r="C16" s="154"/>
      <c r="D16" s="154"/>
      <c r="E16" s="154"/>
      <c r="F16" s="154"/>
      <c r="G16" s="154"/>
      <c r="H16" s="154"/>
      <c r="I16" s="154"/>
      <c r="J16" s="154"/>
      <c r="K16" s="154"/>
      <c r="L16" s="154"/>
      <c r="M16" s="128"/>
    </row>
    <row r="17" spans="1:16" ht="14.4" customHeight="1" x14ac:dyDescent="0.3">
      <c r="A17" s="154"/>
      <c r="B17" s="154"/>
      <c r="C17" s="154"/>
      <c r="D17" s="154"/>
      <c r="E17" s="154"/>
      <c r="F17" s="154"/>
      <c r="G17" s="154"/>
      <c r="H17" s="154"/>
      <c r="I17" s="154"/>
      <c r="J17" s="154"/>
      <c r="K17" s="154"/>
      <c r="L17" s="154"/>
      <c r="M17" s="128"/>
    </row>
    <row r="18" spans="1:16" ht="14.4" customHeight="1" x14ac:dyDescent="0.3">
      <c r="A18" s="154"/>
      <c r="B18" s="154"/>
      <c r="C18" s="154"/>
      <c r="D18" s="154"/>
      <c r="E18" s="154"/>
      <c r="F18" s="154"/>
      <c r="G18" s="154"/>
      <c r="H18" s="154"/>
      <c r="I18" s="154"/>
      <c r="J18" s="154"/>
      <c r="K18" s="154"/>
      <c r="L18" s="154"/>
      <c r="M18" s="128"/>
    </row>
    <row r="19" spans="1:16" ht="14.4" customHeight="1" x14ac:dyDescent="0.3">
      <c r="A19" s="154"/>
      <c r="B19" s="154"/>
      <c r="C19" s="154"/>
      <c r="D19" s="154"/>
      <c r="E19" s="154"/>
      <c r="F19" s="154"/>
      <c r="G19" s="154"/>
      <c r="H19" s="154"/>
      <c r="I19" s="154"/>
      <c r="J19" s="154"/>
      <c r="K19" s="154"/>
      <c r="L19" s="154"/>
      <c r="M19" s="128"/>
    </row>
    <row r="20" spans="1:16" ht="14.4" customHeight="1" x14ac:dyDescent="0.3">
      <c r="A20" s="154"/>
      <c r="B20" s="154"/>
      <c r="C20" s="154"/>
      <c r="D20" s="154"/>
      <c r="E20" s="154"/>
      <c r="F20" s="154"/>
      <c r="G20" s="154"/>
      <c r="H20" s="154"/>
      <c r="I20" s="154"/>
      <c r="J20" s="154"/>
      <c r="K20" s="154"/>
      <c r="L20" s="154"/>
      <c r="M20" s="128"/>
    </row>
    <row r="21" spans="1:16" ht="40.65" customHeight="1" x14ac:dyDescent="0.3">
      <c r="A21" s="154"/>
      <c r="B21" s="154"/>
      <c r="C21" s="154"/>
      <c r="D21" s="154"/>
      <c r="E21" s="154"/>
      <c r="F21" s="154"/>
      <c r="G21" s="154"/>
      <c r="H21" s="154"/>
      <c r="I21" s="154"/>
      <c r="J21" s="154"/>
      <c r="K21" s="154"/>
      <c r="L21" s="154"/>
      <c r="M21" s="128"/>
    </row>
    <row r="22" spans="1:16" ht="14.4" customHeight="1" x14ac:dyDescent="0.3">
      <c r="A22" s="154" t="s">
        <v>290</v>
      </c>
      <c r="B22" s="154"/>
      <c r="C22" s="154"/>
      <c r="D22" s="154"/>
      <c r="E22" s="154"/>
      <c r="F22" s="154"/>
      <c r="G22" s="154"/>
      <c r="H22" s="154"/>
      <c r="I22" s="154"/>
      <c r="J22" s="154"/>
      <c r="K22" s="154"/>
      <c r="L22" s="154"/>
      <c r="M22" s="128"/>
    </row>
    <row r="23" spans="1:16" ht="14.4" customHeight="1" x14ac:dyDescent="0.3">
      <c r="A23" s="154"/>
      <c r="B23" s="154"/>
      <c r="C23" s="154"/>
      <c r="D23" s="154"/>
      <c r="E23" s="154"/>
      <c r="F23" s="154"/>
      <c r="G23" s="154"/>
      <c r="H23" s="154"/>
      <c r="I23" s="154"/>
      <c r="J23" s="154"/>
      <c r="K23" s="154"/>
      <c r="L23" s="154"/>
      <c r="M23" s="128"/>
    </row>
    <row r="24" spans="1:16" ht="14.4" customHeight="1" x14ac:dyDescent="0.3">
      <c r="A24" s="154"/>
      <c r="B24" s="154"/>
      <c r="C24" s="154"/>
      <c r="D24" s="154"/>
      <c r="E24" s="154"/>
      <c r="F24" s="154"/>
      <c r="G24" s="154"/>
      <c r="H24" s="154"/>
      <c r="I24" s="154"/>
      <c r="J24" s="154"/>
      <c r="K24" s="154"/>
      <c r="L24" s="154"/>
      <c r="M24" s="128"/>
    </row>
    <row r="25" spans="1:16" ht="14.4" customHeight="1" x14ac:dyDescent="0.3">
      <c r="A25" s="154"/>
      <c r="B25" s="154"/>
      <c r="C25" s="154"/>
      <c r="D25" s="154"/>
      <c r="E25" s="154"/>
      <c r="F25" s="154"/>
      <c r="G25" s="154"/>
      <c r="H25" s="154"/>
      <c r="I25" s="154"/>
      <c r="J25" s="154"/>
      <c r="K25" s="154"/>
      <c r="L25" s="154"/>
      <c r="M25" s="128"/>
    </row>
    <row r="26" spans="1:16" ht="22.2" customHeight="1" thickBot="1" x14ac:dyDescent="0.35">
      <c r="A26" s="154"/>
      <c r="B26" s="154"/>
      <c r="C26" s="154"/>
      <c r="D26" s="154"/>
      <c r="E26" s="154"/>
      <c r="F26" s="154"/>
      <c r="G26" s="154"/>
      <c r="H26" s="154"/>
      <c r="I26" s="154"/>
      <c r="J26" s="154"/>
      <c r="K26" s="154"/>
      <c r="L26" s="154"/>
      <c r="M26" s="128"/>
    </row>
    <row r="27" spans="1:16" ht="79.95" customHeight="1" thickTop="1" thickBot="1" x14ac:dyDescent="0.45">
      <c r="A27" s="155" t="s">
        <v>255</v>
      </c>
      <c r="B27" s="155"/>
      <c r="C27" s="155"/>
      <c r="D27" s="155"/>
      <c r="E27" s="155"/>
      <c r="F27" s="155"/>
      <c r="G27" s="155"/>
      <c r="H27" s="155"/>
      <c r="I27" s="155"/>
      <c r="J27" s="155"/>
      <c r="K27" s="155"/>
      <c r="L27" s="155"/>
      <c r="M27" s="128"/>
      <c r="N27" s="89" t="s">
        <v>1</v>
      </c>
      <c r="O27" s="90" t="s">
        <v>192</v>
      </c>
      <c r="P27" s="91" t="s">
        <v>193</v>
      </c>
    </row>
    <row r="28" spans="1:16" ht="28.2" customHeight="1" thickBot="1" x14ac:dyDescent="0.6">
      <c r="A28" s="156" t="s">
        <v>236</v>
      </c>
      <c r="B28" s="156"/>
      <c r="C28" s="156"/>
      <c r="D28" s="156"/>
      <c r="E28" s="156"/>
      <c r="F28" s="156"/>
      <c r="G28" s="156"/>
      <c r="H28" s="156"/>
      <c r="I28" s="156"/>
      <c r="J28" s="156"/>
      <c r="K28" s="156"/>
      <c r="L28" s="156"/>
      <c r="M28" s="128"/>
      <c r="N28" s="92" t="s">
        <v>53</v>
      </c>
      <c r="O28" s="93">
        <v>0.20097271109155557</v>
      </c>
      <c r="P28" s="94" t="s">
        <v>202</v>
      </c>
    </row>
    <row r="29" spans="1:16" ht="25.2" thickBot="1" x14ac:dyDescent="0.6">
      <c r="A29" s="130"/>
      <c r="B29" s="130"/>
      <c r="C29" s="130"/>
      <c r="D29" s="130"/>
      <c r="E29" s="130"/>
      <c r="F29" s="130"/>
      <c r="G29" s="130"/>
      <c r="H29" s="130"/>
      <c r="I29" s="130"/>
      <c r="J29" s="130"/>
      <c r="K29" s="130"/>
      <c r="L29" s="130"/>
      <c r="M29" s="128"/>
      <c r="N29" s="92" t="s">
        <v>194</v>
      </c>
      <c r="O29" s="93">
        <v>0.26639786881704947</v>
      </c>
      <c r="P29" s="94" t="s">
        <v>202</v>
      </c>
    </row>
    <row r="30" spans="1:16" ht="25.2" thickBot="1" x14ac:dyDescent="0.6">
      <c r="A30" s="149" t="s">
        <v>284</v>
      </c>
      <c r="B30" s="149"/>
      <c r="C30" s="149"/>
      <c r="D30" s="149"/>
      <c r="E30" s="149"/>
      <c r="F30" s="149"/>
      <c r="G30" s="149"/>
      <c r="H30" s="149"/>
      <c r="I30" s="149"/>
      <c r="J30" s="149"/>
      <c r="K30" s="149"/>
      <c r="L30" s="149"/>
      <c r="M30" s="128"/>
      <c r="N30" s="92" t="s">
        <v>6</v>
      </c>
      <c r="O30" s="93">
        <v>0.23879868085500833</v>
      </c>
      <c r="P30" s="94" t="s">
        <v>202</v>
      </c>
    </row>
    <row r="31" spans="1:16" ht="25.2" thickBot="1" x14ac:dyDescent="0.6">
      <c r="A31" s="149"/>
      <c r="B31" s="149"/>
      <c r="C31" s="149"/>
      <c r="D31" s="149"/>
      <c r="E31" s="149"/>
      <c r="F31" s="149"/>
      <c r="G31" s="149"/>
      <c r="H31" s="149"/>
      <c r="I31" s="149"/>
      <c r="J31" s="149"/>
      <c r="K31" s="149"/>
      <c r="L31" s="149"/>
      <c r="M31" s="128"/>
      <c r="N31" s="92" t="s">
        <v>90</v>
      </c>
      <c r="O31" s="93">
        <v>0.26639786881704947</v>
      </c>
      <c r="P31" s="94" t="s">
        <v>202</v>
      </c>
    </row>
    <row r="32" spans="1:16" ht="25.2" thickBot="1" x14ac:dyDescent="0.6">
      <c r="A32" s="149"/>
      <c r="B32" s="149"/>
      <c r="C32" s="149"/>
      <c r="D32" s="149"/>
      <c r="E32" s="149"/>
      <c r="F32" s="149"/>
      <c r="G32" s="149"/>
      <c r="H32" s="149"/>
      <c r="I32" s="149"/>
      <c r="J32" s="149"/>
      <c r="K32" s="149"/>
      <c r="L32" s="149"/>
      <c r="M32" s="128"/>
      <c r="N32" s="92" t="s">
        <v>195</v>
      </c>
      <c r="O32" s="93">
        <v>0.26316449245173307</v>
      </c>
      <c r="P32" s="94" t="s">
        <v>202</v>
      </c>
    </row>
    <row r="33" spans="1:16" ht="25.2" thickBot="1" x14ac:dyDescent="0.6">
      <c r="A33" s="149"/>
      <c r="B33" s="149"/>
      <c r="C33" s="149"/>
      <c r="D33" s="149"/>
      <c r="E33" s="149"/>
      <c r="F33" s="149"/>
      <c r="G33" s="149"/>
      <c r="H33" s="149"/>
      <c r="I33" s="149"/>
      <c r="J33" s="149"/>
      <c r="K33" s="149"/>
      <c r="L33" s="149"/>
      <c r="M33" s="128"/>
      <c r="N33" s="95" t="s">
        <v>196</v>
      </c>
      <c r="O33" s="96">
        <v>0.26387788897688819</v>
      </c>
      <c r="P33" s="97" t="s">
        <v>202</v>
      </c>
    </row>
    <row r="34" spans="1:16" ht="15.6" thickTop="1" thickBot="1" x14ac:dyDescent="0.35">
      <c r="A34" s="149"/>
      <c r="B34" s="149"/>
      <c r="C34" s="149"/>
      <c r="D34" s="149"/>
      <c r="E34" s="149"/>
      <c r="F34" s="149"/>
      <c r="G34" s="149"/>
      <c r="H34" s="149"/>
      <c r="I34" s="149"/>
      <c r="J34" s="149"/>
      <c r="K34" s="149"/>
      <c r="L34" s="149"/>
      <c r="M34" s="128"/>
      <c r="N34" s="151" t="s">
        <v>60</v>
      </c>
      <c r="O34" s="152"/>
      <c r="P34" s="153"/>
    </row>
    <row r="35" spans="1:16" ht="14.4" customHeight="1" thickTop="1" x14ac:dyDescent="0.3">
      <c r="A35" s="149"/>
      <c r="B35" s="149"/>
      <c r="C35" s="149"/>
      <c r="D35" s="149"/>
      <c r="E35" s="149"/>
      <c r="F35" s="149"/>
      <c r="G35" s="149"/>
      <c r="H35" s="149"/>
      <c r="I35" s="149"/>
      <c r="J35" s="149"/>
      <c r="K35" s="149"/>
      <c r="L35" s="149"/>
      <c r="M35" s="128"/>
    </row>
    <row r="36" spans="1:16" ht="14.4" customHeight="1" x14ac:dyDescent="0.3">
      <c r="A36" s="149"/>
      <c r="B36" s="149"/>
      <c r="C36" s="149"/>
      <c r="D36" s="149"/>
      <c r="E36" s="149"/>
      <c r="F36" s="149"/>
      <c r="G36" s="149"/>
      <c r="H36" s="149"/>
      <c r="I36" s="149"/>
      <c r="J36" s="149"/>
      <c r="K36" s="149"/>
      <c r="L36" s="149"/>
      <c r="M36" s="128"/>
    </row>
    <row r="37" spans="1:16" ht="14.4" customHeight="1" x14ac:dyDescent="0.3">
      <c r="A37" s="149"/>
      <c r="B37" s="149"/>
      <c r="C37" s="149"/>
      <c r="D37" s="149"/>
      <c r="E37" s="149"/>
      <c r="F37" s="149"/>
      <c r="G37" s="149"/>
      <c r="H37" s="149"/>
      <c r="I37" s="149"/>
      <c r="J37" s="149"/>
      <c r="K37" s="149"/>
      <c r="L37" s="149"/>
      <c r="M37" s="128"/>
    </row>
    <row r="38" spans="1:16" ht="14.4" customHeight="1" x14ac:dyDescent="0.3">
      <c r="A38" s="149"/>
      <c r="B38" s="149"/>
      <c r="C38" s="149"/>
      <c r="D38" s="149"/>
      <c r="E38" s="149"/>
      <c r="F38" s="149"/>
      <c r="G38" s="149"/>
      <c r="H38" s="149"/>
      <c r="I38" s="149"/>
      <c r="J38" s="149"/>
      <c r="K38" s="149"/>
      <c r="L38" s="149"/>
      <c r="M38" s="128"/>
    </row>
    <row r="39" spans="1:16" ht="14.4" customHeight="1" x14ac:dyDescent="0.3">
      <c r="A39" s="149"/>
      <c r="B39" s="149"/>
      <c r="C39" s="149"/>
      <c r="D39" s="149"/>
      <c r="E39" s="149"/>
      <c r="F39" s="149"/>
      <c r="G39" s="149"/>
      <c r="H39" s="149"/>
      <c r="I39" s="149"/>
      <c r="J39" s="149"/>
      <c r="K39" s="149"/>
      <c r="L39" s="149"/>
      <c r="M39" s="128"/>
    </row>
    <row r="40" spans="1:16" ht="14.4" customHeight="1" x14ac:dyDescent="0.3">
      <c r="A40" s="149"/>
      <c r="B40" s="149"/>
      <c r="C40" s="149"/>
      <c r="D40" s="149"/>
      <c r="E40" s="149"/>
      <c r="F40" s="149"/>
      <c r="G40" s="149"/>
      <c r="H40" s="149"/>
      <c r="I40" s="149"/>
      <c r="J40" s="149"/>
      <c r="K40" s="149"/>
      <c r="L40" s="149"/>
      <c r="M40" s="128"/>
    </row>
    <row r="41" spans="1:16" ht="14.4" customHeight="1" x14ac:dyDescent="0.3">
      <c r="A41" s="149"/>
      <c r="B41" s="149"/>
      <c r="C41" s="149"/>
      <c r="D41" s="149"/>
      <c r="E41" s="149"/>
      <c r="F41" s="149"/>
      <c r="G41" s="149"/>
      <c r="H41" s="149"/>
      <c r="I41" s="149"/>
      <c r="J41" s="149"/>
      <c r="K41" s="149"/>
      <c r="L41" s="149"/>
      <c r="M41" s="128"/>
    </row>
    <row r="42" spans="1:16" ht="14.4" customHeight="1" x14ac:dyDescent="0.3">
      <c r="A42" s="149"/>
      <c r="B42" s="149"/>
      <c r="C42" s="149"/>
      <c r="D42" s="149"/>
      <c r="E42" s="149"/>
      <c r="F42" s="149"/>
      <c r="G42" s="149"/>
      <c r="H42" s="149"/>
      <c r="I42" s="149"/>
      <c r="J42" s="149"/>
      <c r="K42" s="149"/>
      <c r="L42" s="149"/>
      <c r="M42" s="128"/>
    </row>
    <row r="43" spans="1:16" ht="304.95" customHeight="1" x14ac:dyDescent="0.3">
      <c r="A43" s="149"/>
      <c r="B43" s="149"/>
      <c r="C43" s="149"/>
      <c r="D43" s="149"/>
      <c r="E43" s="149"/>
      <c r="F43" s="149"/>
      <c r="G43" s="149"/>
      <c r="H43" s="149"/>
      <c r="I43" s="149"/>
      <c r="J43" s="149"/>
      <c r="K43" s="149"/>
      <c r="L43" s="149"/>
      <c r="M43" s="128"/>
    </row>
    <row r="80" spans="4:6" ht="14.4" customHeight="1" x14ac:dyDescent="0.3">
      <c r="D80" s="52" t="s">
        <v>258</v>
      </c>
      <c r="F80" s="52" t="s">
        <v>257</v>
      </c>
    </row>
    <row r="81" spans="2:4" ht="14.4" customHeight="1" x14ac:dyDescent="0.3">
      <c r="B81" s="52" t="s">
        <v>254</v>
      </c>
      <c r="D81" s="52" t="s">
        <v>237</v>
      </c>
    </row>
    <row r="82" spans="2:4" ht="259.2" x14ac:dyDescent="0.3">
      <c r="D82" s="52" t="s">
        <v>238</v>
      </c>
    </row>
    <row r="83" spans="2:4" ht="187.2" x14ac:dyDescent="0.3">
      <c r="B83" s="52" t="s">
        <v>235</v>
      </c>
      <c r="D83" s="52" t="s">
        <v>239</v>
      </c>
    </row>
    <row r="84" spans="2:4" ht="14.4" customHeight="1" x14ac:dyDescent="0.3">
      <c r="B84" s="52" t="s">
        <v>255</v>
      </c>
      <c r="D84" s="52" t="s">
        <v>240</v>
      </c>
    </row>
    <row r="85" spans="2:4" ht="14.4" customHeight="1" x14ac:dyDescent="0.3">
      <c r="B85" s="129" t="s">
        <v>236</v>
      </c>
      <c r="D85" s="52" t="s">
        <v>241</v>
      </c>
    </row>
    <row r="86" spans="2:4" ht="14.4" customHeight="1" x14ac:dyDescent="0.3">
      <c r="B86" s="52" t="s">
        <v>256</v>
      </c>
      <c r="D86" s="52" t="s">
        <v>242</v>
      </c>
    </row>
    <row r="87" spans="2:4" ht="144" x14ac:dyDescent="0.3">
      <c r="D87" s="52" t="s">
        <v>243</v>
      </c>
    </row>
    <row r="88" spans="2:4" ht="57.6" x14ac:dyDescent="0.3">
      <c r="D88" s="52" t="s">
        <v>244</v>
      </c>
    </row>
    <row r="90" spans="2:4" ht="28.8" x14ac:dyDescent="0.3">
      <c r="D90" s="52" t="s">
        <v>245</v>
      </c>
    </row>
    <row r="92" spans="2:4" ht="187.2" x14ac:dyDescent="0.3">
      <c r="D92" s="52" t="s">
        <v>246</v>
      </c>
    </row>
    <row r="94" spans="2:4" ht="201.6" x14ac:dyDescent="0.3">
      <c r="D94" s="52" t="s">
        <v>247</v>
      </c>
    </row>
    <row r="98" spans="4:4" ht="28.8" x14ac:dyDescent="0.3">
      <c r="D98" s="52" t="s">
        <v>248</v>
      </c>
    </row>
    <row r="99" spans="4:4" ht="43.2" x14ac:dyDescent="0.3">
      <c r="D99" s="52" t="s">
        <v>249</v>
      </c>
    </row>
    <row r="101" spans="4:4" ht="43.2" x14ac:dyDescent="0.3">
      <c r="D101" s="52" t="s">
        <v>250</v>
      </c>
    </row>
    <row r="102" spans="4:4" ht="57.6" x14ac:dyDescent="0.3">
      <c r="D102" s="52" t="s">
        <v>251</v>
      </c>
    </row>
    <row r="104" spans="4:4" ht="43.2" x14ac:dyDescent="0.3">
      <c r="D104" s="52" t="s">
        <v>252</v>
      </c>
    </row>
    <row r="105" spans="4:4" ht="57.6" x14ac:dyDescent="0.3">
      <c r="D105" s="52" t="s">
        <v>253</v>
      </c>
    </row>
  </sheetData>
  <sheetProtection algorithmName="SHA-512" hashValue="NefU9kR45WEg1mIIK6C7mIJmOpQRdcIRd42mEfd/dyzvL0uv3bwGi/TBhV4zvHVmmpSchV9STJ0SYVe1MD4Dqw==" saltValue="aA6LwqyjXZ+TlKmmemXAog==" spinCount="100000" sheet="1" objects="1" scenarios="1"/>
  <mergeCells count="7">
    <mergeCell ref="A30:L43"/>
    <mergeCell ref="A1:L3"/>
    <mergeCell ref="N34:P34"/>
    <mergeCell ref="A4:L21"/>
    <mergeCell ref="A22:L26"/>
    <mergeCell ref="A27:L27"/>
    <mergeCell ref="A28:L28"/>
  </mergeCells>
  <hyperlinks>
    <hyperlink ref="B85" r:id="rId1" xr:uid="{85C3C937-EEEC-46CB-879A-50F0196420C2}"/>
    <hyperlink ref="A28:L28" r:id="rId2" display="https://www.bmu.de/fileadmin/Daten_BMU/Download_PDF/Glaeserne_Gesetze/19._Lp/ehv_2030/Entwurf/ehv_2030_refe_bf.pdf (letzter Zugriff 22.01.2021)" xr:uid="{C5723FFD-465F-4E4D-BE31-8F83C1B10FC9}"/>
  </hyperlinks>
  <pageMargins left="0.7" right="0.7" top="0.78740157499999996" bottom="0.78740157499999996" header="0.3" footer="0.3"/>
  <pageSetup paperSize="9" scale="41" orientation="landscape" horizont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1D2BA-4C1B-49CA-923B-1A08938EE51F}">
  <dimension ref="A1:X62"/>
  <sheetViews>
    <sheetView topLeftCell="J1" zoomScaleNormal="100" workbookViewId="0">
      <selection activeCell="O27" sqref="O27:O32"/>
    </sheetView>
  </sheetViews>
  <sheetFormatPr baseColWidth="10" defaultRowHeight="14.4" x14ac:dyDescent="0.3"/>
  <cols>
    <col min="1" max="1" width="11.6640625" customWidth="1"/>
    <col min="3" max="3" width="11.5546875" style="98" bestFit="1" customWidth="1"/>
    <col min="4" max="4" width="13.5546875" customWidth="1"/>
    <col min="5" max="5" width="11.5546875" style="98" bestFit="1" customWidth="1"/>
    <col min="6" max="6" width="0" hidden="1" customWidth="1"/>
    <col min="10" max="11" width="17.33203125" style="98" customWidth="1"/>
    <col min="12" max="12" width="21.6640625" style="98" customWidth="1"/>
    <col min="13" max="13" width="10.33203125" style="98" customWidth="1"/>
    <col min="14" max="14" width="19.33203125" bestFit="1" customWidth="1"/>
    <col min="15" max="15" width="19.6640625" customWidth="1"/>
    <col min="16" max="16" width="18.6640625" bestFit="1" customWidth="1"/>
    <col min="17" max="17" width="4.6640625" customWidth="1"/>
    <col min="18" max="18" width="17.5546875" bestFit="1" customWidth="1"/>
    <col min="22" max="22" width="11.5546875" bestFit="1" customWidth="1"/>
    <col min="24" max="24" width="11.5546875" bestFit="1" customWidth="1"/>
  </cols>
  <sheetData>
    <row r="1" spans="1:24" x14ac:dyDescent="0.3">
      <c r="A1" s="110" t="s">
        <v>224</v>
      </c>
      <c r="T1" s="110" t="s">
        <v>224</v>
      </c>
      <c r="V1" s="98"/>
      <c r="X1" s="98"/>
    </row>
    <row r="2" spans="1:24" x14ac:dyDescent="0.3">
      <c r="A2" s="109" t="s">
        <v>223</v>
      </c>
      <c r="C2" s="98" t="s">
        <v>205</v>
      </c>
      <c r="E2" s="98" t="s">
        <v>206</v>
      </c>
      <c r="H2" t="s">
        <v>61</v>
      </c>
      <c r="J2" s="98" t="s">
        <v>219</v>
      </c>
      <c r="K2" s="98" t="s">
        <v>221</v>
      </c>
      <c r="L2" s="98" t="s">
        <v>220</v>
      </c>
      <c r="N2" s="98" t="s">
        <v>228</v>
      </c>
      <c r="P2" s="98" t="s">
        <v>229</v>
      </c>
      <c r="R2" s="98" t="s">
        <v>230</v>
      </c>
      <c r="T2" s="109" t="s">
        <v>223</v>
      </c>
      <c r="V2" s="98" t="s">
        <v>205</v>
      </c>
      <c r="X2" s="98" t="s">
        <v>206</v>
      </c>
    </row>
    <row r="3" spans="1:24" x14ac:dyDescent="0.3">
      <c r="A3" t="s">
        <v>209</v>
      </c>
      <c r="B3">
        <v>25</v>
      </c>
      <c r="C3" s="98" t="e">
        <f>B3*125*#REF!/1000*(SUM($J$3:$J$12))</f>
        <v>#REF!</v>
      </c>
      <c r="D3">
        <v>1.19</v>
      </c>
      <c r="E3" s="98" t="e">
        <f>C3*D3</f>
        <v>#REF!</v>
      </c>
      <c r="H3">
        <v>1</v>
      </c>
      <c r="I3">
        <v>2024</v>
      </c>
      <c r="J3" s="98">
        <v>45</v>
      </c>
      <c r="K3" s="98">
        <v>45</v>
      </c>
      <c r="L3" s="98">
        <v>45</v>
      </c>
      <c r="N3" s="98">
        <v>45</v>
      </c>
      <c r="O3" s="98"/>
      <c r="P3" s="98">
        <v>45</v>
      </c>
      <c r="Q3" s="98"/>
      <c r="R3" s="98">
        <v>45</v>
      </c>
      <c r="T3" t="s">
        <v>209</v>
      </c>
      <c r="U3">
        <v>25</v>
      </c>
      <c r="V3" s="98">
        <f>U3*125*$O$27/1000*(SUM($J$3:$J$12))</f>
        <v>389.38462773988891</v>
      </c>
      <c r="W3">
        <v>1.19</v>
      </c>
      <c r="X3" s="98">
        <f>V3*W3</f>
        <v>463.36770701046777</v>
      </c>
    </row>
    <row r="4" spans="1:24" x14ac:dyDescent="0.3">
      <c r="A4" t="s">
        <v>211</v>
      </c>
      <c r="B4">
        <v>35</v>
      </c>
      <c r="C4" s="98" t="e">
        <f>Beispiele_Wohngebäude!$C$5*#REF!/1000*(SUM($J$3:$J$12))</f>
        <v>#REF!</v>
      </c>
      <c r="D4">
        <v>1.19</v>
      </c>
      <c r="E4" s="98" t="e">
        <f>C4*D4</f>
        <v>#REF!</v>
      </c>
      <c r="H4">
        <v>2</v>
      </c>
      <c r="I4">
        <v>2025</v>
      </c>
      <c r="J4" s="98">
        <v>55</v>
      </c>
      <c r="K4" s="98">
        <v>55</v>
      </c>
      <c r="L4" s="98">
        <v>55</v>
      </c>
      <c r="N4" s="98">
        <v>55</v>
      </c>
      <c r="O4" s="98"/>
      <c r="P4" s="98">
        <v>55</v>
      </c>
      <c r="Q4" s="98"/>
      <c r="R4" s="98">
        <v>55</v>
      </c>
      <c r="T4" t="s">
        <v>211</v>
      </c>
      <c r="U4">
        <v>35</v>
      </c>
      <c r="V4" s="98">
        <f t="shared" ref="V4:V7" si="0">U4*125*$O$27/1000*(SUM($J$3:$J$12))</f>
        <v>545.13847883584447</v>
      </c>
      <c r="W4">
        <v>1.19</v>
      </c>
      <c r="X4" s="98">
        <f>V4*W4</f>
        <v>648.71478981465486</v>
      </c>
    </row>
    <row r="5" spans="1:24" x14ac:dyDescent="0.3">
      <c r="A5" t="s">
        <v>210</v>
      </c>
      <c r="B5">
        <v>45</v>
      </c>
      <c r="C5" s="98" t="e">
        <f>Beispiele_Wohngebäude!$D$5*#REF!/1000*(SUM($J$3:$J$12))</f>
        <v>#REF!</v>
      </c>
      <c r="D5">
        <v>1.19</v>
      </c>
      <c r="E5" s="98" t="e">
        <f>C5*D5</f>
        <v>#REF!</v>
      </c>
      <c r="H5">
        <v>3</v>
      </c>
      <c r="I5">
        <v>2026</v>
      </c>
      <c r="J5" s="98">
        <v>65</v>
      </c>
      <c r="K5" s="98">
        <v>65</v>
      </c>
      <c r="L5" s="98">
        <v>65</v>
      </c>
      <c r="N5" s="98">
        <v>65</v>
      </c>
      <c r="O5" s="98"/>
      <c r="P5" s="98">
        <v>65</v>
      </c>
      <c r="Q5" s="98"/>
      <c r="R5" s="98">
        <v>65</v>
      </c>
      <c r="T5" t="s">
        <v>210</v>
      </c>
      <c r="U5">
        <v>45</v>
      </c>
      <c r="V5" s="98">
        <f t="shared" si="0"/>
        <v>700.89232993180008</v>
      </c>
      <c r="W5">
        <v>1.19</v>
      </c>
      <c r="X5" s="98">
        <f>V5*W5</f>
        <v>834.06187261884202</v>
      </c>
    </row>
    <row r="6" spans="1:24" x14ac:dyDescent="0.3">
      <c r="A6" t="s">
        <v>212</v>
      </c>
      <c r="B6">
        <v>150</v>
      </c>
      <c r="C6" s="98" t="e">
        <f>Beispiele_Wohngebäude!$E$5*#REF!/1000*(SUM($J$3:$J$12))</f>
        <v>#REF!</v>
      </c>
      <c r="D6">
        <v>1.19</v>
      </c>
      <c r="E6" s="98" t="e">
        <f t="shared" ref="E6:E7" si="1">C6*D6</f>
        <v>#REF!</v>
      </c>
      <c r="H6">
        <v>4</v>
      </c>
      <c r="I6">
        <v>2027</v>
      </c>
      <c r="J6" s="98">
        <v>65</v>
      </c>
      <c r="K6" s="98">
        <v>90</v>
      </c>
      <c r="L6" s="98">
        <v>90</v>
      </c>
      <c r="N6" s="111">
        <f>(N22-N5)/($H$22-$H$5)+N5</f>
        <v>67.058823529411768</v>
      </c>
      <c r="O6" s="111"/>
      <c r="P6" s="111">
        <f>(P22-P5)/($H$22-$H$5)+P5</f>
        <v>72.941176470588232</v>
      </c>
      <c r="Q6" s="111"/>
      <c r="R6" s="111">
        <f>(R22-R5)/($H$22-$H$5)+R5</f>
        <v>78.82352941176471</v>
      </c>
      <c r="S6" s="111"/>
      <c r="T6" t="s">
        <v>212</v>
      </c>
      <c r="U6">
        <v>150</v>
      </c>
      <c r="V6" s="98">
        <f t="shared" si="0"/>
        <v>2336.3077664393336</v>
      </c>
      <c r="W6">
        <v>1.19</v>
      </c>
      <c r="X6" s="98">
        <f t="shared" ref="X6:X7" si="2">V6*W6</f>
        <v>2780.2062420628067</v>
      </c>
    </row>
    <row r="7" spans="1:24" x14ac:dyDescent="0.3">
      <c r="A7" t="s">
        <v>213</v>
      </c>
      <c r="B7">
        <v>225</v>
      </c>
      <c r="C7" s="98" t="e">
        <f>Beispiele_Wohngebäude!$F$5*#REF!/1000*(SUM($J$3:$J$12))</f>
        <v>#REF!</v>
      </c>
      <c r="D7">
        <v>1.19</v>
      </c>
      <c r="E7" s="98" t="e">
        <f t="shared" si="1"/>
        <v>#REF!</v>
      </c>
      <c r="H7">
        <v>5</v>
      </c>
      <c r="I7">
        <v>2028</v>
      </c>
      <c r="J7" s="98">
        <v>65</v>
      </c>
      <c r="K7" s="98">
        <v>90</v>
      </c>
      <c r="L7" s="98">
        <v>100</v>
      </c>
      <c r="N7" s="111">
        <f>N6+($N$6-$N$5)</f>
        <v>69.117647058823536</v>
      </c>
      <c r="O7" s="111"/>
      <c r="P7" s="111">
        <f>P6+($P$6-$P$5)</f>
        <v>80.882352941176464</v>
      </c>
      <c r="Q7" s="111"/>
      <c r="R7" s="111">
        <f>R6+($R$6-$R$5)</f>
        <v>92.64705882352942</v>
      </c>
      <c r="S7" s="111"/>
      <c r="T7" t="s">
        <v>213</v>
      </c>
      <c r="U7">
        <v>225</v>
      </c>
      <c r="V7" s="98">
        <f t="shared" si="0"/>
        <v>3504.4616496590006</v>
      </c>
      <c r="W7">
        <v>1.19</v>
      </c>
      <c r="X7" s="98">
        <f t="shared" si="2"/>
        <v>4170.3093630942103</v>
      </c>
    </row>
    <row r="8" spans="1:24" x14ac:dyDescent="0.3">
      <c r="H8">
        <v>6</v>
      </c>
      <c r="I8">
        <v>2029</v>
      </c>
      <c r="J8" s="98">
        <v>65</v>
      </c>
      <c r="K8" s="98">
        <v>90</v>
      </c>
      <c r="L8" s="98">
        <v>110</v>
      </c>
      <c r="N8" s="111">
        <f>N7+($N$7-$N$6)</f>
        <v>71.176470588235304</v>
      </c>
      <c r="O8" s="111"/>
      <c r="P8" s="111">
        <f t="shared" ref="P8:P21" si="3">P7+($P$6-$P$5)</f>
        <v>88.823529411764696</v>
      </c>
      <c r="Q8" s="111"/>
      <c r="R8" s="111">
        <f t="shared" ref="R8:R21" si="4">R7+($R$6-$R$5)</f>
        <v>106.47058823529413</v>
      </c>
      <c r="S8" s="111"/>
      <c r="V8" s="98"/>
      <c r="X8" s="98"/>
    </row>
    <row r="9" spans="1:24" x14ac:dyDescent="0.3">
      <c r="A9" s="109" t="s">
        <v>225</v>
      </c>
      <c r="H9">
        <v>7</v>
      </c>
      <c r="I9">
        <v>2030</v>
      </c>
      <c r="J9" s="98">
        <v>65</v>
      </c>
      <c r="K9" s="98">
        <v>90</v>
      </c>
      <c r="L9" s="98">
        <v>115</v>
      </c>
      <c r="N9" s="111">
        <f t="shared" ref="N9:N21" si="5">N8+($N$7-$N$6)</f>
        <v>73.235294117647072</v>
      </c>
      <c r="O9" s="111"/>
      <c r="P9" s="111">
        <f t="shared" si="3"/>
        <v>96.764705882352928</v>
      </c>
      <c r="Q9" s="111"/>
      <c r="R9" s="111">
        <f t="shared" si="4"/>
        <v>120.29411764705884</v>
      </c>
      <c r="S9" s="111"/>
      <c r="T9" s="109" t="s">
        <v>225</v>
      </c>
      <c r="V9" s="98"/>
      <c r="X9" s="98"/>
    </row>
    <row r="10" spans="1:24" x14ac:dyDescent="0.3">
      <c r="A10" t="s">
        <v>209</v>
      </c>
      <c r="B10">
        <v>25</v>
      </c>
      <c r="C10" s="98" t="e">
        <f>B10*125*#REF!/1000*(SUM($J$3:$J$22))</f>
        <v>#REF!</v>
      </c>
      <c r="D10">
        <v>1.19</v>
      </c>
      <c r="E10" s="98" t="e">
        <f>C10*D10</f>
        <v>#REF!</v>
      </c>
      <c r="H10">
        <v>8</v>
      </c>
      <c r="I10">
        <v>2031</v>
      </c>
      <c r="J10" s="98">
        <v>65</v>
      </c>
      <c r="K10" s="98">
        <v>90</v>
      </c>
      <c r="L10" s="98">
        <v>120</v>
      </c>
      <c r="N10" s="111">
        <f t="shared" si="5"/>
        <v>75.29411764705884</v>
      </c>
      <c r="O10" s="111"/>
      <c r="P10" s="111">
        <f t="shared" si="3"/>
        <v>104.70588235294116</v>
      </c>
      <c r="Q10" s="111"/>
      <c r="R10" s="111">
        <f t="shared" si="4"/>
        <v>134.11764705882354</v>
      </c>
      <c r="S10" s="111"/>
      <c r="T10" t="s">
        <v>209</v>
      </c>
      <c r="U10">
        <v>25</v>
      </c>
      <c r="V10" s="98">
        <f>U10*125*$O$27/1000*(SUM($J$3:$J$22))</f>
        <v>797.61044714461116</v>
      </c>
      <c r="W10">
        <v>1.19</v>
      </c>
      <c r="X10" s="98">
        <f>V10*W10</f>
        <v>949.15643210208725</v>
      </c>
    </row>
    <row r="11" spans="1:24" x14ac:dyDescent="0.3">
      <c r="A11" t="s">
        <v>211</v>
      </c>
      <c r="B11">
        <v>35</v>
      </c>
      <c r="C11" s="98" t="e">
        <f>B11*125*#REF!/1000*(SUM($J$3:$J$22))</f>
        <v>#REF!</v>
      </c>
      <c r="D11">
        <v>1.19</v>
      </c>
      <c r="E11" s="98" t="e">
        <f>C11*D11</f>
        <v>#REF!</v>
      </c>
      <c r="H11">
        <v>9</v>
      </c>
      <c r="I11">
        <v>2032</v>
      </c>
      <c r="J11" s="98">
        <v>65</v>
      </c>
      <c r="K11" s="98">
        <v>90</v>
      </c>
      <c r="L11" s="98">
        <v>125</v>
      </c>
      <c r="N11" s="111">
        <f t="shared" si="5"/>
        <v>77.352941176470608</v>
      </c>
      <c r="O11" s="111"/>
      <c r="P11" s="111">
        <f t="shared" si="3"/>
        <v>112.64705882352939</v>
      </c>
      <c r="Q11" s="111"/>
      <c r="R11" s="111">
        <f t="shared" si="4"/>
        <v>147.94117647058823</v>
      </c>
      <c r="S11" s="111"/>
      <c r="T11" t="s">
        <v>211</v>
      </c>
      <c r="U11">
        <v>35</v>
      </c>
      <c r="V11" s="98">
        <f t="shared" ref="V11:V14" si="6">U11*125*$O$27/1000*(SUM($J$3:$J$22))</f>
        <v>1116.6546260024556</v>
      </c>
      <c r="W11">
        <v>1.19</v>
      </c>
      <c r="X11" s="98">
        <f>V11*W11</f>
        <v>1328.8190049429222</v>
      </c>
    </row>
    <row r="12" spans="1:24" x14ac:dyDescent="0.3">
      <c r="A12" t="s">
        <v>210</v>
      </c>
      <c r="B12">
        <v>45</v>
      </c>
      <c r="C12" s="98" t="e">
        <f>B12*125*#REF!/1000*(SUM($J$3:$J$22))</f>
        <v>#REF!</v>
      </c>
      <c r="D12">
        <v>1.19</v>
      </c>
      <c r="E12" s="98" t="e">
        <f>C12*D12</f>
        <v>#REF!</v>
      </c>
      <c r="H12">
        <v>10</v>
      </c>
      <c r="I12">
        <v>2033</v>
      </c>
      <c r="J12" s="98">
        <v>65</v>
      </c>
      <c r="K12" s="98">
        <v>90</v>
      </c>
      <c r="L12" s="98">
        <v>130</v>
      </c>
      <c r="N12" s="111">
        <f t="shared" si="5"/>
        <v>79.411764705882376</v>
      </c>
      <c r="O12" s="111"/>
      <c r="P12" s="111">
        <f t="shared" si="3"/>
        <v>120.58823529411762</v>
      </c>
      <c r="Q12" s="111"/>
      <c r="R12" s="111">
        <f t="shared" si="4"/>
        <v>161.76470588235293</v>
      </c>
      <c r="S12" s="111"/>
      <c r="T12" t="s">
        <v>210</v>
      </c>
      <c r="U12">
        <v>45</v>
      </c>
      <c r="V12" s="98">
        <f t="shared" si="6"/>
        <v>1435.6988048603</v>
      </c>
      <c r="W12">
        <v>1.19</v>
      </c>
      <c r="X12" s="98">
        <f>V12*W12</f>
        <v>1708.4815777837568</v>
      </c>
    </row>
    <row r="13" spans="1:24" x14ac:dyDescent="0.3">
      <c r="A13" t="s">
        <v>212</v>
      </c>
      <c r="B13">
        <v>150</v>
      </c>
      <c r="C13" s="98" t="e">
        <f>B13*125*#REF!/1000*(SUM($J$3:$J$22))</f>
        <v>#REF!</v>
      </c>
      <c r="D13">
        <v>1.19</v>
      </c>
      <c r="E13" s="98" t="e">
        <f t="shared" ref="E13:E14" si="7">C13*D13</f>
        <v>#REF!</v>
      </c>
      <c r="H13">
        <v>11</v>
      </c>
      <c r="I13">
        <v>2034</v>
      </c>
      <c r="J13" s="98">
        <v>65</v>
      </c>
      <c r="K13" s="98">
        <v>90</v>
      </c>
      <c r="L13" s="98">
        <v>135</v>
      </c>
      <c r="N13" s="111">
        <f t="shared" si="5"/>
        <v>81.470588235294144</v>
      </c>
      <c r="O13" s="111"/>
      <c r="P13" s="111">
        <f t="shared" si="3"/>
        <v>128.52941176470586</v>
      </c>
      <c r="Q13" s="111"/>
      <c r="R13" s="111">
        <f t="shared" si="4"/>
        <v>175.58823529411762</v>
      </c>
      <c r="S13" s="111"/>
      <c r="T13" t="s">
        <v>212</v>
      </c>
      <c r="U13">
        <v>150</v>
      </c>
      <c r="V13" s="98">
        <f t="shared" si="6"/>
        <v>4785.6626828676672</v>
      </c>
      <c r="W13">
        <v>1.19</v>
      </c>
      <c r="X13" s="98">
        <f t="shared" ref="X13:X14" si="8">V13*W13</f>
        <v>5694.9385926125233</v>
      </c>
    </row>
    <row r="14" spans="1:24" x14ac:dyDescent="0.3">
      <c r="A14" t="s">
        <v>213</v>
      </c>
      <c r="B14">
        <v>225</v>
      </c>
      <c r="C14" s="98" t="e">
        <f>B14*125*#REF!/1000*(SUM($J$3:$J$22))</f>
        <v>#REF!</v>
      </c>
      <c r="D14">
        <v>1.19</v>
      </c>
      <c r="E14" s="98" t="e">
        <f t="shared" si="7"/>
        <v>#REF!</v>
      </c>
      <c r="H14">
        <v>12</v>
      </c>
      <c r="I14">
        <v>2035</v>
      </c>
      <c r="J14" s="98">
        <v>65</v>
      </c>
      <c r="K14" s="98">
        <v>90</v>
      </c>
      <c r="L14" s="98">
        <v>140</v>
      </c>
      <c r="N14" s="111">
        <f t="shared" si="5"/>
        <v>83.529411764705912</v>
      </c>
      <c r="O14" s="111"/>
      <c r="P14" s="111">
        <f t="shared" si="3"/>
        <v>136.47058823529409</v>
      </c>
      <c r="Q14" s="111"/>
      <c r="R14" s="111">
        <f t="shared" si="4"/>
        <v>189.41176470588232</v>
      </c>
      <c r="S14" s="111"/>
      <c r="T14" t="s">
        <v>213</v>
      </c>
      <c r="U14">
        <v>225</v>
      </c>
      <c r="V14" s="98">
        <f t="shared" si="6"/>
        <v>7178.4940243015008</v>
      </c>
      <c r="W14">
        <v>1.19</v>
      </c>
      <c r="X14" s="98">
        <f t="shared" si="8"/>
        <v>8542.4078889187858</v>
      </c>
    </row>
    <row r="15" spans="1:24" x14ac:dyDescent="0.3">
      <c r="H15">
        <v>13</v>
      </c>
      <c r="I15">
        <v>2036</v>
      </c>
      <c r="J15" s="98">
        <v>65</v>
      </c>
      <c r="K15" s="98">
        <v>90</v>
      </c>
      <c r="L15" s="98">
        <v>145</v>
      </c>
      <c r="N15" s="111">
        <f t="shared" si="5"/>
        <v>85.58823529411768</v>
      </c>
      <c r="O15" s="111"/>
      <c r="P15" s="111">
        <f t="shared" si="3"/>
        <v>144.41176470588232</v>
      </c>
      <c r="Q15" s="111"/>
      <c r="R15" s="111">
        <f t="shared" si="4"/>
        <v>203.23529411764702</v>
      </c>
      <c r="S15" s="111"/>
      <c r="V15" s="98"/>
      <c r="X15" s="98"/>
    </row>
    <row r="16" spans="1:24" x14ac:dyDescent="0.3">
      <c r="H16">
        <v>14</v>
      </c>
      <c r="I16">
        <v>2037</v>
      </c>
      <c r="J16" s="98">
        <v>65</v>
      </c>
      <c r="K16" s="98">
        <v>90</v>
      </c>
      <c r="L16" s="98">
        <v>150</v>
      </c>
      <c r="N16" s="111">
        <f t="shared" si="5"/>
        <v>87.647058823529449</v>
      </c>
      <c r="O16" s="111"/>
      <c r="P16" s="111">
        <f t="shared" si="3"/>
        <v>152.35294117647055</v>
      </c>
      <c r="Q16" s="111"/>
      <c r="R16" s="111">
        <f t="shared" si="4"/>
        <v>217.05882352941171</v>
      </c>
      <c r="S16" s="111"/>
      <c r="V16" s="98"/>
      <c r="X16" s="98"/>
    </row>
    <row r="17" spans="1:24" x14ac:dyDescent="0.3">
      <c r="H17">
        <v>15</v>
      </c>
      <c r="I17">
        <v>2038</v>
      </c>
      <c r="J17" s="98">
        <v>65</v>
      </c>
      <c r="K17" s="98">
        <v>90</v>
      </c>
      <c r="L17" s="98">
        <v>155</v>
      </c>
      <c r="N17" s="111">
        <f t="shared" si="5"/>
        <v>89.705882352941217</v>
      </c>
      <c r="O17" s="111"/>
      <c r="P17" s="111">
        <f t="shared" si="3"/>
        <v>160.29411764705878</v>
      </c>
      <c r="Q17" s="111"/>
      <c r="R17" s="111">
        <f t="shared" si="4"/>
        <v>230.88235294117641</v>
      </c>
      <c r="S17" s="111"/>
      <c r="T17" s="110" t="s">
        <v>231</v>
      </c>
      <c r="V17" s="98"/>
      <c r="X17" s="98"/>
    </row>
    <row r="18" spans="1:24" x14ac:dyDescent="0.3">
      <c r="A18" s="110" t="s">
        <v>222</v>
      </c>
      <c r="H18">
        <v>16</v>
      </c>
      <c r="I18">
        <v>2039</v>
      </c>
      <c r="J18" s="98">
        <v>65</v>
      </c>
      <c r="K18" s="98">
        <v>90</v>
      </c>
      <c r="L18" s="98">
        <v>160</v>
      </c>
      <c r="N18" s="111">
        <f t="shared" si="5"/>
        <v>91.764705882352985</v>
      </c>
      <c r="O18" s="111"/>
      <c r="P18" s="111">
        <f t="shared" si="3"/>
        <v>168.23529411764702</v>
      </c>
      <c r="Q18" s="111"/>
      <c r="R18" s="111">
        <f t="shared" si="4"/>
        <v>244.7058823529411</v>
      </c>
      <c r="S18" s="111"/>
      <c r="T18" s="109" t="s">
        <v>223</v>
      </c>
      <c r="V18" s="98"/>
      <c r="X18" s="98"/>
    </row>
    <row r="19" spans="1:24" x14ac:dyDescent="0.3">
      <c r="A19" s="109" t="s">
        <v>223</v>
      </c>
      <c r="H19">
        <v>17</v>
      </c>
      <c r="I19">
        <v>2040</v>
      </c>
      <c r="J19" s="98">
        <v>65</v>
      </c>
      <c r="K19" s="98">
        <v>90</v>
      </c>
      <c r="L19" s="98">
        <v>165</v>
      </c>
      <c r="N19" s="111">
        <f t="shared" si="5"/>
        <v>93.823529411764753</v>
      </c>
      <c r="O19" s="111"/>
      <c r="P19" s="111">
        <f t="shared" si="3"/>
        <v>176.17647058823525</v>
      </c>
      <c r="Q19" s="111"/>
      <c r="R19" s="111">
        <f t="shared" si="4"/>
        <v>258.5294117647058</v>
      </c>
      <c r="S19" s="111"/>
      <c r="T19" t="s">
        <v>209</v>
      </c>
      <c r="U19">
        <v>25</v>
      </c>
      <c r="V19" s="98">
        <f>U19*125*$O$27/1000*(SUM($N$3:$N$12))</f>
        <v>425.58927054682363</v>
      </c>
      <c r="W19">
        <v>1.19</v>
      </c>
      <c r="X19" s="98">
        <f>V19*W19</f>
        <v>506.45123195072011</v>
      </c>
    </row>
    <row r="20" spans="1:24" x14ac:dyDescent="0.3">
      <c r="A20" t="s">
        <v>209</v>
      </c>
      <c r="B20">
        <v>25</v>
      </c>
      <c r="C20" s="98" t="e">
        <f>B20*125*#REF!/1000*(SUM($K$3:$K$12))</f>
        <v>#REF!</v>
      </c>
      <c r="D20">
        <v>1.19</v>
      </c>
      <c r="E20" s="98" t="e">
        <f>C20*D20</f>
        <v>#REF!</v>
      </c>
      <c r="H20">
        <v>18</v>
      </c>
      <c r="I20">
        <v>2041</v>
      </c>
      <c r="J20" s="98">
        <v>65</v>
      </c>
      <c r="K20" s="98">
        <v>90</v>
      </c>
      <c r="L20" s="98">
        <v>170</v>
      </c>
      <c r="N20" s="111">
        <f t="shared" si="5"/>
        <v>95.882352941176521</v>
      </c>
      <c r="O20" s="111"/>
      <c r="P20" s="111">
        <f t="shared" si="3"/>
        <v>184.11764705882348</v>
      </c>
      <c r="Q20" s="111"/>
      <c r="R20" s="111">
        <f t="shared" si="4"/>
        <v>272.35294117647049</v>
      </c>
      <c r="S20" s="111"/>
      <c r="T20" t="s">
        <v>211</v>
      </c>
      <c r="U20">
        <v>35</v>
      </c>
      <c r="V20" s="98">
        <f t="shared" ref="V20:V23" si="9">U20*125*$O$27/1000*(SUM($N$3:$N$12))</f>
        <v>595.82497876555306</v>
      </c>
      <c r="W20">
        <v>1.19</v>
      </c>
      <c r="X20" s="98">
        <f>V20*W20</f>
        <v>709.03172473100813</v>
      </c>
    </row>
    <row r="21" spans="1:24" x14ac:dyDescent="0.3">
      <c r="A21" t="s">
        <v>211</v>
      </c>
      <c r="B21">
        <v>35</v>
      </c>
      <c r="C21" s="98" t="e">
        <f>Beispiele_Wohngebäude!$C$5*#REF!/1000*(SUM($K$3:$K$12))</f>
        <v>#REF!</v>
      </c>
      <c r="D21">
        <v>1.19</v>
      </c>
      <c r="E21" s="98" t="e">
        <f>C21*D21</f>
        <v>#REF!</v>
      </c>
      <c r="H21">
        <v>19</v>
      </c>
      <c r="I21">
        <v>2042</v>
      </c>
      <c r="J21" s="98">
        <v>65</v>
      </c>
      <c r="K21" s="98">
        <v>90</v>
      </c>
      <c r="L21" s="98">
        <v>175</v>
      </c>
      <c r="N21" s="111">
        <f t="shared" si="5"/>
        <v>97.941176470588289</v>
      </c>
      <c r="O21" s="111"/>
      <c r="P21" s="111">
        <f t="shared" si="3"/>
        <v>192.05882352941171</v>
      </c>
      <c r="Q21" s="111"/>
      <c r="R21" s="111">
        <f t="shared" si="4"/>
        <v>286.17647058823519</v>
      </c>
      <c r="S21" s="111"/>
      <c r="T21" t="s">
        <v>210</v>
      </c>
      <c r="U21">
        <v>45</v>
      </c>
      <c r="V21" s="98">
        <f t="shared" si="9"/>
        <v>766.06068698428248</v>
      </c>
      <c r="W21">
        <v>1.19</v>
      </c>
      <c r="X21" s="98">
        <f>V21*W21</f>
        <v>911.61221751129608</v>
      </c>
    </row>
    <row r="22" spans="1:24" x14ac:dyDescent="0.3">
      <c r="A22" t="s">
        <v>210</v>
      </c>
      <c r="B22">
        <v>45</v>
      </c>
      <c r="C22" s="98" t="e">
        <f>Beispiele_Wohngebäude!$D$5*#REF!/1000*(SUM($K$3:$K$12))</f>
        <v>#REF!</v>
      </c>
      <c r="D22">
        <v>1.19</v>
      </c>
      <c r="E22" s="98" t="e">
        <f>C22*D22</f>
        <v>#REF!</v>
      </c>
      <c r="H22">
        <v>20</v>
      </c>
      <c r="I22">
        <v>2043</v>
      </c>
      <c r="J22" s="98">
        <v>65</v>
      </c>
      <c r="K22" s="98">
        <v>90</v>
      </c>
      <c r="L22" s="98">
        <v>180</v>
      </c>
      <c r="N22" s="98">
        <v>100</v>
      </c>
      <c r="O22" s="111"/>
      <c r="P22" s="98">
        <v>200</v>
      </c>
      <c r="Q22" s="98"/>
      <c r="R22" s="98">
        <v>300</v>
      </c>
      <c r="T22" t="s">
        <v>212</v>
      </c>
      <c r="U22">
        <v>150</v>
      </c>
      <c r="V22" s="98">
        <f t="shared" si="9"/>
        <v>2553.5356232809418</v>
      </c>
      <c r="W22">
        <v>1.19</v>
      </c>
      <c r="X22" s="98">
        <f t="shared" ref="X22:X23" si="10">V22*W22</f>
        <v>3038.7073917043203</v>
      </c>
    </row>
    <row r="23" spans="1:24" x14ac:dyDescent="0.3">
      <c r="A23" t="s">
        <v>212</v>
      </c>
      <c r="B23">
        <v>150</v>
      </c>
      <c r="C23" s="98" t="e">
        <f>Beispiele_Wohngebäude!$E$5*#REF!/1000*(SUM($K$3:$K$12))</f>
        <v>#REF!</v>
      </c>
      <c r="D23">
        <v>1.19</v>
      </c>
      <c r="E23" s="98" t="e">
        <f t="shared" ref="E23:E24" si="11">C23*D23</f>
        <v>#REF!</v>
      </c>
      <c r="T23" t="s">
        <v>213</v>
      </c>
      <c r="U23">
        <v>225</v>
      </c>
      <c r="V23" s="98">
        <f t="shared" si="9"/>
        <v>3830.3034349214126</v>
      </c>
      <c r="W23">
        <v>1.19</v>
      </c>
      <c r="X23" s="98">
        <f t="shared" si="10"/>
        <v>4558.0610875564807</v>
      </c>
    </row>
    <row r="24" spans="1:24" x14ac:dyDescent="0.3">
      <c r="A24" t="s">
        <v>213</v>
      </c>
      <c r="B24">
        <v>225</v>
      </c>
      <c r="C24" s="98" t="e">
        <f>Beispiele_Wohngebäude!$F$5*#REF!/1000*(SUM($K$3:$K$12))</f>
        <v>#REF!</v>
      </c>
      <c r="D24">
        <v>1.19</v>
      </c>
      <c r="E24" s="98" t="e">
        <f t="shared" si="11"/>
        <v>#REF!</v>
      </c>
      <c r="V24" s="98"/>
      <c r="X24" s="98"/>
    </row>
    <row r="25" spans="1:24" ht="15" thickBot="1" x14ac:dyDescent="0.35">
      <c r="T25" s="109" t="s">
        <v>225</v>
      </c>
      <c r="V25" s="98"/>
      <c r="X25" s="98"/>
    </row>
    <row r="26" spans="1:24" ht="22.2" thickTop="1" thickBot="1" x14ac:dyDescent="0.45">
      <c r="A26" s="109" t="s">
        <v>225</v>
      </c>
      <c r="N26" s="89" t="s">
        <v>1</v>
      </c>
      <c r="O26" s="90" t="s">
        <v>192</v>
      </c>
      <c r="P26" s="91" t="s">
        <v>193</v>
      </c>
      <c r="T26" t="s">
        <v>209</v>
      </c>
      <c r="U26">
        <v>25</v>
      </c>
      <c r="V26" s="98">
        <f>U26*125*$O$27/1000*(SUM($N$3:$N$22))</f>
        <v>995.44295962536148</v>
      </c>
      <c r="W26">
        <v>1.19</v>
      </c>
      <c r="X26" s="98">
        <f>V26*W26</f>
        <v>1184.57712195418</v>
      </c>
    </row>
    <row r="27" spans="1:24" ht="25.2" thickBot="1" x14ac:dyDescent="0.6">
      <c r="A27" t="s">
        <v>209</v>
      </c>
      <c r="B27">
        <v>25</v>
      </c>
      <c r="C27" s="98" t="e">
        <f>B27*125*#REF!/1000*(SUM($K$3:$K$22))</f>
        <v>#REF!</v>
      </c>
      <c r="D27">
        <v>1.19</v>
      </c>
      <c r="E27" s="98" t="e">
        <f>C27*D27</f>
        <v>#REF!</v>
      </c>
      <c r="N27" s="92" t="s">
        <v>53</v>
      </c>
      <c r="O27" s="93">
        <f>'CO2-Faktoren (LAK)'!D34</f>
        <v>0.20097271109155557</v>
      </c>
      <c r="P27" s="94" t="s">
        <v>202</v>
      </c>
      <c r="T27" t="s">
        <v>211</v>
      </c>
      <c r="U27">
        <v>35</v>
      </c>
      <c r="V27" s="98">
        <f t="shared" ref="V27:V30" si="12">U27*125*$O$27/1000*(SUM($N$3:$N$22))</f>
        <v>1393.620143475506</v>
      </c>
      <c r="W27">
        <v>1.19</v>
      </c>
      <c r="X27" s="98">
        <f>V27*W27</f>
        <v>1658.4079707358521</v>
      </c>
    </row>
    <row r="28" spans="1:24" ht="25.2" thickBot="1" x14ac:dyDescent="0.6">
      <c r="A28" t="s">
        <v>211</v>
      </c>
      <c r="B28">
        <v>35</v>
      </c>
      <c r="C28" s="98" t="e">
        <f>Beispiele_Wohngebäude!$C$5*#REF!/1000*(SUM($K$3:$K$22))</f>
        <v>#REF!</v>
      </c>
      <c r="D28">
        <v>1.19</v>
      </c>
      <c r="E28" s="98" t="e">
        <f>C28*D28</f>
        <v>#REF!</v>
      </c>
      <c r="N28" s="92" t="s">
        <v>194</v>
      </c>
      <c r="O28" s="93">
        <f>'CO2-Faktoren (LAK)'!D27</f>
        <v>0.26639786881704947</v>
      </c>
      <c r="P28" s="94" t="s">
        <v>202</v>
      </c>
      <c r="T28" t="s">
        <v>210</v>
      </c>
      <c r="U28">
        <v>45</v>
      </c>
      <c r="V28" s="98">
        <f t="shared" si="12"/>
        <v>1791.7973273256507</v>
      </c>
      <c r="W28">
        <v>1.19</v>
      </c>
      <c r="X28" s="98">
        <f>V28*W28</f>
        <v>2132.2388195175245</v>
      </c>
    </row>
    <row r="29" spans="1:24" ht="25.2" thickBot="1" x14ac:dyDescent="0.6">
      <c r="A29" t="s">
        <v>210</v>
      </c>
      <c r="B29">
        <v>45</v>
      </c>
      <c r="C29" s="98" t="e">
        <f>Beispiele_Wohngebäude!$D$5*#REF!/1000*(SUM($K$3:$K$22))</f>
        <v>#REF!</v>
      </c>
      <c r="D29">
        <v>1.19</v>
      </c>
      <c r="E29" s="98" t="e">
        <f>C29*D29</f>
        <v>#REF!</v>
      </c>
      <c r="N29" s="92" t="s">
        <v>6</v>
      </c>
      <c r="O29" s="93">
        <f>'CO2-Faktoren (LAK)'!D31</f>
        <v>0.23879868085500833</v>
      </c>
      <c r="P29" s="94" t="s">
        <v>202</v>
      </c>
      <c r="T29" t="s">
        <v>212</v>
      </c>
      <c r="U29">
        <v>150</v>
      </c>
      <c r="V29" s="98">
        <f t="shared" si="12"/>
        <v>5972.6577577521684</v>
      </c>
      <c r="W29">
        <v>1.19</v>
      </c>
      <c r="X29" s="98">
        <f t="shared" ref="X29:X30" si="13">V29*W29</f>
        <v>7107.4627317250797</v>
      </c>
    </row>
    <row r="30" spans="1:24" ht="25.2" thickBot="1" x14ac:dyDescent="0.6">
      <c r="A30" t="s">
        <v>212</v>
      </c>
      <c r="B30">
        <v>150</v>
      </c>
      <c r="C30" s="98" t="e">
        <f>Beispiele_Wohngebäude!$E$5*#REF!/1000*(SUM($K$3:$K$22))</f>
        <v>#REF!</v>
      </c>
      <c r="D30">
        <v>1.19</v>
      </c>
      <c r="E30" s="98" t="e">
        <f t="shared" ref="E30:E31" si="14">C30*D30</f>
        <v>#REF!</v>
      </c>
      <c r="N30" s="92" t="s">
        <v>90</v>
      </c>
      <c r="O30" s="93">
        <f>'CO2-Faktoren-Verkehr'!D7</f>
        <v>0.26639786881704947</v>
      </c>
      <c r="P30" s="94" t="s">
        <v>202</v>
      </c>
      <c r="T30" t="s">
        <v>213</v>
      </c>
      <c r="U30">
        <v>225</v>
      </c>
      <c r="V30" s="98">
        <f t="shared" si="12"/>
        <v>8958.9866366282531</v>
      </c>
      <c r="W30">
        <v>1.19</v>
      </c>
      <c r="X30" s="98">
        <f t="shared" si="13"/>
        <v>10661.19409758762</v>
      </c>
    </row>
    <row r="31" spans="1:24" ht="25.2" thickBot="1" x14ac:dyDescent="0.6">
      <c r="A31" t="s">
        <v>213</v>
      </c>
      <c r="B31">
        <v>225</v>
      </c>
      <c r="C31" s="98" t="e">
        <f>Beispiele_Wohngebäude!$F$5*#REF!/1000*(SUM($K$3:$K$22))</f>
        <v>#REF!</v>
      </c>
      <c r="D31">
        <v>1.19</v>
      </c>
      <c r="E31" s="98" t="e">
        <f t="shared" si="14"/>
        <v>#REF!</v>
      </c>
      <c r="N31" s="92" t="s">
        <v>195</v>
      </c>
      <c r="O31" s="93">
        <f>'CO2-Faktoren-Verkehr'!D5</f>
        <v>0.26316449245173307</v>
      </c>
      <c r="P31" s="94" t="s">
        <v>202</v>
      </c>
      <c r="V31" s="98"/>
      <c r="X31" s="98"/>
    </row>
    <row r="32" spans="1:24" ht="25.2" thickBot="1" x14ac:dyDescent="0.6">
      <c r="N32" s="95" t="s">
        <v>196</v>
      </c>
      <c r="O32" s="96">
        <f>'CO2-Faktoren-Verkehr'!D6</f>
        <v>0.26387788897688819</v>
      </c>
      <c r="P32" s="97" t="s">
        <v>202</v>
      </c>
      <c r="V32" s="98"/>
      <c r="X32" s="98"/>
    </row>
    <row r="33" spans="1:24" ht="15.6" thickTop="1" thickBot="1" x14ac:dyDescent="0.35">
      <c r="N33" s="151" t="s">
        <v>60</v>
      </c>
      <c r="O33" s="152"/>
      <c r="P33" s="153"/>
      <c r="T33" s="110" t="s">
        <v>232</v>
      </c>
      <c r="V33" s="98"/>
      <c r="X33" s="98"/>
    </row>
    <row r="34" spans="1:24" ht="15" thickTop="1" x14ac:dyDescent="0.3">
      <c r="T34" s="109" t="s">
        <v>223</v>
      </c>
      <c r="V34" s="98"/>
      <c r="X34" s="98"/>
    </row>
    <row r="35" spans="1:24" x14ac:dyDescent="0.3">
      <c r="A35" s="110" t="s">
        <v>226</v>
      </c>
      <c r="T35" t="s">
        <v>209</v>
      </c>
      <c r="U35">
        <v>25</v>
      </c>
      <c r="V35" s="98">
        <f>U35*125*$O$27/1000*(SUM($P$3:$P$12))</f>
        <v>529.03110713806529</v>
      </c>
      <c r="W35">
        <v>1.19</v>
      </c>
      <c r="X35" s="98">
        <f>V35*W35</f>
        <v>629.54701749429762</v>
      </c>
    </row>
    <row r="36" spans="1:24" x14ac:dyDescent="0.3">
      <c r="A36" s="109" t="s">
        <v>223</v>
      </c>
      <c r="T36" t="s">
        <v>211</v>
      </c>
      <c r="U36">
        <v>35</v>
      </c>
      <c r="V36" s="98">
        <f t="shared" ref="V36:V39" si="15">U36*125*$O$27/1000*(SUM($P$3:$P$12))</f>
        <v>740.64354999329146</v>
      </c>
      <c r="W36">
        <v>1.19</v>
      </c>
      <c r="X36" s="98">
        <f>V36*W36</f>
        <v>881.36582449201683</v>
      </c>
    </row>
    <row r="37" spans="1:24" x14ac:dyDescent="0.3">
      <c r="A37" t="s">
        <v>209</v>
      </c>
      <c r="B37">
        <v>25</v>
      </c>
      <c r="C37" s="98" t="e">
        <f>B37*125*#REF!/1000*(SUM($L$3:$L$12))</f>
        <v>#REF!</v>
      </c>
      <c r="D37">
        <v>1.19</v>
      </c>
      <c r="E37" s="98" t="e">
        <f>C37*D37</f>
        <v>#REF!</v>
      </c>
      <c r="T37" t="s">
        <v>210</v>
      </c>
      <c r="U37">
        <v>45</v>
      </c>
      <c r="V37" s="98">
        <f t="shared" si="15"/>
        <v>952.25599284851762</v>
      </c>
      <c r="W37">
        <v>1.19</v>
      </c>
      <c r="X37" s="98">
        <f>V37*W37</f>
        <v>1133.1846314897359</v>
      </c>
    </row>
    <row r="38" spans="1:24" x14ac:dyDescent="0.3">
      <c r="A38" t="s">
        <v>211</v>
      </c>
      <c r="B38">
        <v>35</v>
      </c>
      <c r="C38" s="98" t="e">
        <f>B38*125*#REF!/1000*(SUM($L$3:$L$12))</f>
        <v>#REF!</v>
      </c>
      <c r="D38">
        <v>1.19</v>
      </c>
      <c r="E38" s="98" t="e">
        <f>C38*D38</f>
        <v>#REF!</v>
      </c>
      <c r="T38" t="s">
        <v>212</v>
      </c>
      <c r="U38">
        <v>150</v>
      </c>
      <c r="V38" s="98">
        <f t="shared" si="15"/>
        <v>3174.186642828392</v>
      </c>
      <c r="W38">
        <v>1.19</v>
      </c>
      <c r="X38" s="98">
        <f t="shared" ref="X38:X39" si="16">V38*W38</f>
        <v>3777.2821049657864</v>
      </c>
    </row>
    <row r="39" spans="1:24" x14ac:dyDescent="0.3">
      <c r="A39" t="s">
        <v>210</v>
      </c>
      <c r="B39">
        <v>45</v>
      </c>
      <c r="C39" s="98" t="e">
        <f>B39*125*#REF!/1000*(SUM($L$3:$L$12))</f>
        <v>#REF!</v>
      </c>
      <c r="D39">
        <v>1.19</v>
      </c>
      <c r="E39" s="98" t="e">
        <f>C39*D39</f>
        <v>#REF!</v>
      </c>
      <c r="T39" t="s">
        <v>213</v>
      </c>
      <c r="U39">
        <v>225</v>
      </c>
      <c r="V39" s="98">
        <f t="shared" si="15"/>
        <v>4761.279964242588</v>
      </c>
      <c r="W39">
        <v>1.19</v>
      </c>
      <c r="X39" s="98">
        <f t="shared" si="16"/>
        <v>5665.9231574486794</v>
      </c>
    </row>
    <row r="40" spans="1:24" x14ac:dyDescent="0.3">
      <c r="A40" t="s">
        <v>212</v>
      </c>
      <c r="B40">
        <v>150</v>
      </c>
      <c r="C40" s="98" t="e">
        <f>B40*125*#REF!/1000*(SUM($L$3:$L$12))</f>
        <v>#REF!</v>
      </c>
      <c r="D40">
        <v>1.19</v>
      </c>
      <c r="E40" s="98" t="e">
        <f t="shared" ref="E40:E41" si="17">C40*D40</f>
        <v>#REF!</v>
      </c>
      <c r="V40" s="98"/>
      <c r="X40" s="98"/>
    </row>
    <row r="41" spans="1:24" x14ac:dyDescent="0.3">
      <c r="A41" t="s">
        <v>213</v>
      </c>
      <c r="B41">
        <v>225</v>
      </c>
      <c r="C41" s="98" t="e">
        <f>B41*125*#REF!/1000*(SUM($L$3:$L$12))</f>
        <v>#REF!</v>
      </c>
      <c r="D41">
        <v>1.19</v>
      </c>
      <c r="E41" s="98" t="e">
        <f t="shared" si="17"/>
        <v>#REF!</v>
      </c>
      <c r="T41" s="109" t="s">
        <v>225</v>
      </c>
      <c r="V41" s="98"/>
      <c r="X41" s="98"/>
    </row>
    <row r="42" spans="1:24" x14ac:dyDescent="0.3">
      <c r="T42" t="s">
        <v>209</v>
      </c>
      <c r="U42">
        <v>25</v>
      </c>
      <c r="V42" s="98">
        <f>U42*125*$O$27/1000*(SUM($P$3:$P$22))</f>
        <v>1560.678709570361</v>
      </c>
      <c r="W42">
        <v>1.19</v>
      </c>
      <c r="X42" s="98">
        <f>V42*W42</f>
        <v>1857.2076643887294</v>
      </c>
    </row>
    <row r="43" spans="1:24" x14ac:dyDescent="0.3">
      <c r="A43" s="109" t="s">
        <v>225</v>
      </c>
      <c r="T43" t="s">
        <v>211</v>
      </c>
      <c r="U43">
        <v>35</v>
      </c>
      <c r="V43" s="98">
        <f t="shared" ref="V43:V46" si="18">U43*125*$O$27/1000*(SUM($P$3:$P$22))</f>
        <v>2184.9501933985052</v>
      </c>
      <c r="W43">
        <v>1.19</v>
      </c>
      <c r="X43" s="98">
        <f>V43*W43</f>
        <v>2600.0907301442212</v>
      </c>
    </row>
    <row r="44" spans="1:24" x14ac:dyDescent="0.3">
      <c r="A44" t="s">
        <v>209</v>
      </c>
      <c r="B44">
        <v>25</v>
      </c>
      <c r="C44" s="98" t="e">
        <f>B44*125*#REF!/1000*(SUM($L$3:$L$22))</f>
        <v>#REF!</v>
      </c>
      <c r="D44">
        <v>1.19</v>
      </c>
      <c r="E44" s="98" t="e">
        <f>C44*D44</f>
        <v>#REF!</v>
      </c>
      <c r="T44" t="s">
        <v>210</v>
      </c>
      <c r="U44">
        <v>45</v>
      </c>
      <c r="V44" s="98">
        <f t="shared" si="18"/>
        <v>2809.2216772266497</v>
      </c>
      <c r="W44">
        <v>1.19</v>
      </c>
      <c r="X44" s="98">
        <f>V44*W44</f>
        <v>3342.973795899713</v>
      </c>
    </row>
    <row r="45" spans="1:24" x14ac:dyDescent="0.3">
      <c r="A45" t="s">
        <v>211</v>
      </c>
      <c r="B45">
        <v>35</v>
      </c>
      <c r="C45" s="98" t="e">
        <f>B45*125*#REF!/1000*(SUM($L$3:$L$22))</f>
        <v>#REF!</v>
      </c>
      <c r="D45">
        <v>1.19</v>
      </c>
      <c r="E45" s="98" t="e">
        <f>C45*D45</f>
        <v>#REF!</v>
      </c>
      <c r="T45" t="s">
        <v>212</v>
      </c>
      <c r="U45">
        <v>150</v>
      </c>
      <c r="V45" s="98">
        <f t="shared" si="18"/>
        <v>9364.0722574221654</v>
      </c>
      <c r="W45">
        <v>1.19</v>
      </c>
      <c r="X45" s="98">
        <f t="shared" ref="X45:X46" si="19">V45*W45</f>
        <v>11143.245986332377</v>
      </c>
    </row>
    <row r="46" spans="1:24" x14ac:dyDescent="0.3">
      <c r="A46" t="s">
        <v>210</v>
      </c>
      <c r="B46">
        <v>45</v>
      </c>
      <c r="C46" s="98" t="e">
        <f>B46*125*#REF!/1000*(SUM($L$3:$L$22))</f>
        <v>#REF!</v>
      </c>
      <c r="D46">
        <v>1.19</v>
      </c>
      <c r="E46" s="98" t="e">
        <f>C46*D46</f>
        <v>#REF!</v>
      </c>
      <c r="T46" t="s">
        <v>213</v>
      </c>
      <c r="U46">
        <v>225</v>
      </c>
      <c r="V46" s="98">
        <f t="shared" si="18"/>
        <v>14046.10838613325</v>
      </c>
      <c r="W46">
        <v>1.19</v>
      </c>
      <c r="X46" s="98">
        <f t="shared" si="19"/>
        <v>16714.868979498566</v>
      </c>
    </row>
    <row r="47" spans="1:24" x14ac:dyDescent="0.3">
      <c r="A47" t="s">
        <v>212</v>
      </c>
      <c r="B47">
        <v>150</v>
      </c>
      <c r="C47" s="98" t="e">
        <f>B47*125*#REF!/1000*(SUM($L$3:$L$22))</f>
        <v>#REF!</v>
      </c>
      <c r="D47">
        <v>1.19</v>
      </c>
      <c r="E47" s="98" t="e">
        <f t="shared" ref="E47:E48" si="20">C47*D47</f>
        <v>#REF!</v>
      </c>
    </row>
    <row r="48" spans="1:24" x14ac:dyDescent="0.3">
      <c r="A48" t="s">
        <v>213</v>
      </c>
      <c r="B48">
        <v>225</v>
      </c>
      <c r="C48" s="98" t="e">
        <f>B48*125*#REF!/1000*(SUM($L$3:$L$22))</f>
        <v>#REF!</v>
      </c>
      <c r="D48">
        <v>1.19</v>
      </c>
      <c r="E48" s="98" t="e">
        <f t="shared" si="20"/>
        <v>#REF!</v>
      </c>
    </row>
    <row r="49" spans="20:24" x14ac:dyDescent="0.3">
      <c r="T49" s="110" t="s">
        <v>233</v>
      </c>
      <c r="V49" s="98"/>
      <c r="X49" s="98"/>
    </row>
    <row r="50" spans="20:24" x14ac:dyDescent="0.3">
      <c r="T50" s="109" t="s">
        <v>223</v>
      </c>
      <c r="V50" s="98"/>
      <c r="X50" s="98"/>
    </row>
    <row r="51" spans="20:24" x14ac:dyDescent="0.3">
      <c r="T51" t="s">
        <v>209</v>
      </c>
      <c r="U51">
        <v>25</v>
      </c>
      <c r="V51" s="98">
        <f>U51*125*$O$27/1000*(SUM($R$3:$R$12))</f>
        <v>632.47294372930719</v>
      </c>
      <c r="W51">
        <v>1.19</v>
      </c>
      <c r="X51" s="98">
        <f>V51*W51</f>
        <v>752.64280303787552</v>
      </c>
    </row>
    <row r="52" spans="20:24" x14ac:dyDescent="0.3">
      <c r="T52" t="s">
        <v>211</v>
      </c>
      <c r="U52">
        <v>35</v>
      </c>
      <c r="V52" s="98">
        <f t="shared" ref="V52:V55" si="21">U52*125*$O$27/1000*(SUM($R$3:$R$12))</f>
        <v>885.46212122103009</v>
      </c>
      <c r="W52">
        <v>1.19</v>
      </c>
      <c r="X52" s="98">
        <f>V52*W52</f>
        <v>1053.6999242530258</v>
      </c>
    </row>
    <row r="53" spans="20:24" x14ac:dyDescent="0.3">
      <c r="T53" t="s">
        <v>210</v>
      </c>
      <c r="U53">
        <v>45</v>
      </c>
      <c r="V53" s="98">
        <f t="shared" si="21"/>
        <v>1138.451298712753</v>
      </c>
      <c r="W53">
        <v>1.19</v>
      </c>
      <c r="X53" s="98">
        <f>V53*W53</f>
        <v>1354.7570454681761</v>
      </c>
    </row>
    <row r="54" spans="20:24" x14ac:dyDescent="0.3">
      <c r="T54" t="s">
        <v>212</v>
      </c>
      <c r="U54">
        <v>150</v>
      </c>
      <c r="V54" s="98">
        <f t="shared" si="21"/>
        <v>3794.8376623758431</v>
      </c>
      <c r="W54">
        <v>1.19</v>
      </c>
      <c r="X54" s="98">
        <f t="shared" ref="X54:X55" si="22">V54*W54</f>
        <v>4515.8568182272529</v>
      </c>
    </row>
    <row r="55" spans="20:24" x14ac:dyDescent="0.3">
      <c r="T55" t="s">
        <v>213</v>
      </c>
      <c r="U55">
        <v>225</v>
      </c>
      <c r="V55" s="98">
        <f t="shared" si="21"/>
        <v>5692.2564935637656</v>
      </c>
      <c r="W55">
        <v>1.19</v>
      </c>
      <c r="X55" s="98">
        <f t="shared" si="22"/>
        <v>6773.7852273408807</v>
      </c>
    </row>
    <row r="56" spans="20:24" x14ac:dyDescent="0.3">
      <c r="V56" s="98"/>
      <c r="X56" s="98"/>
    </row>
    <row r="57" spans="20:24" x14ac:dyDescent="0.3">
      <c r="T57" s="109" t="s">
        <v>225</v>
      </c>
      <c r="V57" s="98"/>
      <c r="X57" s="98"/>
    </row>
    <row r="58" spans="20:24" x14ac:dyDescent="0.3">
      <c r="T58" t="s">
        <v>209</v>
      </c>
      <c r="U58">
        <v>25</v>
      </c>
      <c r="V58" s="98">
        <f>U58*125*$O$27/1000*(SUM($R$3:$R$22))</f>
        <v>2125.9144595153607</v>
      </c>
      <c r="W58">
        <v>1.19</v>
      </c>
      <c r="X58" s="98">
        <f>V58*W58</f>
        <v>2529.8382068232791</v>
      </c>
    </row>
    <row r="59" spans="20:24" x14ac:dyDescent="0.3">
      <c r="T59" t="s">
        <v>211</v>
      </c>
      <c r="U59">
        <v>35</v>
      </c>
      <c r="V59" s="98">
        <f t="shared" ref="V59:V62" si="23">U59*125*$O$27/1000*(SUM($R$3:$R$22))</f>
        <v>2976.2802433215047</v>
      </c>
      <c r="W59">
        <v>1.19</v>
      </c>
      <c r="X59" s="98">
        <f>V59*W59</f>
        <v>3541.7734895525905</v>
      </c>
    </row>
    <row r="60" spans="20:24" x14ac:dyDescent="0.3">
      <c r="T60" t="s">
        <v>210</v>
      </c>
      <c r="U60">
        <v>45</v>
      </c>
      <c r="V60" s="98">
        <f t="shared" si="23"/>
        <v>3826.6460271276492</v>
      </c>
      <c r="W60">
        <v>1.19</v>
      </c>
      <c r="X60" s="98">
        <f>V60*W60</f>
        <v>4553.7087722819024</v>
      </c>
    </row>
    <row r="61" spans="20:24" x14ac:dyDescent="0.3">
      <c r="T61" t="s">
        <v>212</v>
      </c>
      <c r="U61">
        <v>150</v>
      </c>
      <c r="V61" s="98">
        <f t="shared" si="23"/>
        <v>12755.486757092163</v>
      </c>
      <c r="W61">
        <v>1.19</v>
      </c>
      <c r="X61" s="98">
        <f t="shared" ref="X61:X62" si="24">V61*W61</f>
        <v>15179.029240939673</v>
      </c>
    </row>
    <row r="62" spans="20:24" x14ac:dyDescent="0.3">
      <c r="T62" t="s">
        <v>213</v>
      </c>
      <c r="U62">
        <v>225</v>
      </c>
      <c r="V62" s="98">
        <f t="shared" si="23"/>
        <v>19133.230135638249</v>
      </c>
      <c r="W62">
        <v>1.19</v>
      </c>
      <c r="X62" s="98">
        <f t="shared" si="24"/>
        <v>22768.543861409515</v>
      </c>
    </row>
  </sheetData>
  <mergeCells count="1">
    <mergeCell ref="N33:P33"/>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B664-9598-4900-8E05-A6BABB8D6214}">
  <sheetPr>
    <pageSetUpPr fitToPage="1"/>
  </sheetPr>
  <dimension ref="A1:E118"/>
  <sheetViews>
    <sheetView topLeftCell="A15" workbookViewId="0">
      <selection activeCell="D31" sqref="D31"/>
    </sheetView>
  </sheetViews>
  <sheetFormatPr baseColWidth="10" defaultColWidth="10.33203125" defaultRowHeight="10.199999999999999" zeroHeight="1" x14ac:dyDescent="0.2"/>
  <cols>
    <col min="1" max="1" width="16.5546875" style="7" customWidth="1"/>
    <col min="2" max="2" width="42.88671875" style="7" customWidth="1"/>
    <col min="3" max="3" width="31" style="7" customWidth="1"/>
    <col min="4" max="4" width="31" style="6" customWidth="1"/>
    <col min="5" max="5" width="12.6640625" style="7" customWidth="1"/>
    <col min="6" max="16384" width="10.33203125" style="7"/>
  </cols>
  <sheetData>
    <row r="1" spans="1:5" ht="24.9" customHeight="1" x14ac:dyDescent="0.25">
      <c r="A1" s="235" t="s">
        <v>281</v>
      </c>
      <c r="B1" s="235"/>
      <c r="C1" s="235"/>
    </row>
    <row r="2" spans="1:5" ht="24.9" customHeight="1" x14ac:dyDescent="0.2">
      <c r="A2" s="236"/>
      <c r="B2" s="236"/>
      <c r="C2" s="236"/>
    </row>
    <row r="3" spans="1:5" ht="30" customHeight="1" x14ac:dyDescent="0.2">
      <c r="A3" s="237" t="s">
        <v>1</v>
      </c>
      <c r="B3" s="238"/>
      <c r="C3" s="8" t="s">
        <v>22</v>
      </c>
    </row>
    <row r="4" spans="1:5" ht="26.1" customHeight="1" x14ac:dyDescent="0.2">
      <c r="A4" s="239"/>
      <c r="B4" s="240"/>
      <c r="C4" s="9" t="s">
        <v>23</v>
      </c>
      <c r="D4" s="10" t="s">
        <v>89</v>
      </c>
      <c r="E4" s="9"/>
    </row>
    <row r="5" spans="1:5" ht="18" customHeight="1" x14ac:dyDescent="0.2">
      <c r="A5" s="11" t="s">
        <v>24</v>
      </c>
      <c r="B5" s="11" t="s">
        <v>25</v>
      </c>
      <c r="C5" s="12">
        <v>93.572112826757007</v>
      </c>
      <c r="D5" s="6">
        <v>0.33685691132103468</v>
      </c>
    </row>
    <row r="6" spans="1:5" ht="18" customHeight="1" x14ac:dyDescent="0.2">
      <c r="A6" s="11"/>
      <c r="B6" s="11" t="s">
        <v>26</v>
      </c>
      <c r="C6" s="12">
        <v>93.572112826757007</v>
      </c>
      <c r="D6" s="6">
        <v>0.33685691132103468</v>
      </c>
    </row>
    <row r="7" spans="1:5" ht="18" customHeight="1" x14ac:dyDescent="0.2">
      <c r="A7" s="11"/>
      <c r="B7" s="11" t="s">
        <v>27</v>
      </c>
      <c r="C7" s="12">
        <v>93.572112826757007</v>
      </c>
      <c r="D7" s="6">
        <v>0.33685691132103468</v>
      </c>
    </row>
    <row r="8" spans="1:5" ht="18" customHeight="1" x14ac:dyDescent="0.2">
      <c r="A8" s="11" t="s">
        <v>28</v>
      </c>
      <c r="B8" s="11"/>
      <c r="C8" s="12">
        <v>108.31651165527001</v>
      </c>
      <c r="D8" s="6">
        <v>0.38993632246839233</v>
      </c>
    </row>
    <row r="9" spans="1:5" ht="18" customHeight="1" x14ac:dyDescent="0.2">
      <c r="A9" s="11" t="s">
        <v>29</v>
      </c>
      <c r="B9" s="11" t="s">
        <v>25</v>
      </c>
      <c r="C9" s="12">
        <v>95.913062163191199</v>
      </c>
      <c r="D9" s="6">
        <v>0.34528426151339625</v>
      </c>
    </row>
    <row r="10" spans="1:5" ht="18" customHeight="1" x14ac:dyDescent="0.2">
      <c r="A10" s="11"/>
      <c r="B10" s="11" t="s">
        <v>30</v>
      </c>
      <c r="C10" s="12">
        <v>95.913062163191199</v>
      </c>
      <c r="D10" s="6">
        <v>0.34528426151339625</v>
      </c>
    </row>
    <row r="11" spans="1:5" ht="18" customHeight="1" x14ac:dyDescent="0.2">
      <c r="A11" s="11" t="s">
        <v>31</v>
      </c>
      <c r="B11" s="11" t="s">
        <v>32</v>
      </c>
      <c r="C11" s="12">
        <v>110.676109953457</v>
      </c>
      <c r="D11" s="6">
        <v>0.39843080838597816</v>
      </c>
    </row>
    <row r="12" spans="1:5" ht="18" customHeight="1" x14ac:dyDescent="0.2">
      <c r="A12" s="11"/>
      <c r="B12" s="11" t="s">
        <v>26</v>
      </c>
      <c r="C12" s="12">
        <v>105.952890299329</v>
      </c>
      <c r="D12" s="6">
        <v>0.38142735365875519</v>
      </c>
    </row>
    <row r="13" spans="1:5" ht="18" customHeight="1" x14ac:dyDescent="0.2">
      <c r="A13" s="11"/>
      <c r="B13" s="11" t="s">
        <v>33</v>
      </c>
      <c r="C13" s="12">
        <v>105.952890299329</v>
      </c>
      <c r="D13" s="6">
        <v>0.38142735365875519</v>
      </c>
    </row>
    <row r="14" spans="1:5" ht="18" customHeight="1" x14ac:dyDescent="0.2">
      <c r="A14" s="11" t="s">
        <v>34</v>
      </c>
      <c r="B14" s="11" t="s">
        <v>25</v>
      </c>
      <c r="C14" s="12">
        <v>99.211989491916796</v>
      </c>
      <c r="D14" s="6">
        <v>0.3571603048884614</v>
      </c>
    </row>
    <row r="15" spans="1:5" ht="18" customHeight="1" x14ac:dyDescent="0.2">
      <c r="A15" s="11"/>
      <c r="B15" s="11" t="s">
        <v>35</v>
      </c>
      <c r="C15" s="12">
        <v>99.211989491916796</v>
      </c>
      <c r="D15" s="6">
        <v>0.3571603048884614</v>
      </c>
    </row>
    <row r="16" spans="1:5" ht="18" customHeight="1" x14ac:dyDescent="0.2">
      <c r="A16" s="11" t="s">
        <v>36</v>
      </c>
      <c r="B16" s="11" t="s">
        <v>25</v>
      </c>
      <c r="C16" s="12">
        <v>109.57757475129399</v>
      </c>
      <c r="D16" s="6">
        <v>0.39447611329575205</v>
      </c>
    </row>
    <row r="17" spans="1:4" ht="18" customHeight="1" x14ac:dyDescent="0.2">
      <c r="A17" s="11"/>
      <c r="B17" s="11" t="s">
        <v>37</v>
      </c>
      <c r="C17" s="12">
        <v>109.57757475129399</v>
      </c>
      <c r="D17" s="6">
        <v>0.39447611329575205</v>
      </c>
    </row>
    <row r="18" spans="1:4" ht="18" customHeight="1" x14ac:dyDescent="0.2">
      <c r="A18" s="11"/>
      <c r="B18" s="11" t="s">
        <v>38</v>
      </c>
      <c r="C18" s="12">
        <v>109.57757475129399</v>
      </c>
      <c r="D18" s="6">
        <v>0.39447611329575205</v>
      </c>
    </row>
    <row r="19" spans="1:4" ht="18" customHeight="1" x14ac:dyDescent="0.2">
      <c r="A19" s="11" t="s">
        <v>39</v>
      </c>
      <c r="B19" s="11"/>
      <c r="C19" s="12">
        <v>97.520571396437305</v>
      </c>
      <c r="D19" s="6">
        <v>0.35107124845718668</v>
      </c>
    </row>
    <row r="20" spans="1:4" ht="18" customHeight="1" x14ac:dyDescent="0.2">
      <c r="A20" s="11" t="s">
        <v>40</v>
      </c>
      <c r="B20" s="11"/>
      <c r="C20" s="12">
        <v>94.42</v>
      </c>
      <c r="D20" s="6">
        <v>0.33990928072575421</v>
      </c>
    </row>
    <row r="21" spans="1:4" ht="18" customHeight="1" x14ac:dyDescent="0.2">
      <c r="A21" s="11" t="s">
        <v>41</v>
      </c>
      <c r="B21" s="11"/>
      <c r="C21" s="12">
        <v>73.3</v>
      </c>
      <c r="D21" s="6">
        <v>0.26387788897688819</v>
      </c>
    </row>
    <row r="22" spans="1:4" ht="18" customHeight="1" x14ac:dyDescent="0.2">
      <c r="A22" s="11" t="s">
        <v>42</v>
      </c>
      <c r="B22" s="11"/>
      <c r="C22" s="12">
        <v>73.101832713242402</v>
      </c>
      <c r="D22" s="6">
        <v>0.26316449245173307</v>
      </c>
    </row>
    <row r="23" spans="1:4" ht="18" customHeight="1" x14ac:dyDescent="0.2">
      <c r="A23" s="11" t="s">
        <v>43</v>
      </c>
      <c r="B23" s="11"/>
      <c r="C23" s="12">
        <v>73.3</v>
      </c>
      <c r="D23" s="6">
        <v>0.26387788897688819</v>
      </c>
    </row>
    <row r="24" spans="1:4" ht="18" customHeight="1" x14ac:dyDescent="0.2">
      <c r="A24" s="11" t="s">
        <v>44</v>
      </c>
      <c r="B24" s="11"/>
      <c r="C24" s="12">
        <v>70</v>
      </c>
      <c r="D24" s="6">
        <v>0.25199798401612789</v>
      </c>
    </row>
    <row r="25" spans="1:4" ht="18" customHeight="1" x14ac:dyDescent="0.2">
      <c r="A25" s="11" t="s">
        <v>45</v>
      </c>
      <c r="B25" s="11"/>
      <c r="C25" s="12">
        <v>73.3</v>
      </c>
      <c r="D25" s="6">
        <v>0.26387788897688819</v>
      </c>
    </row>
    <row r="26" spans="1:4" ht="18" customHeight="1" x14ac:dyDescent="0.2">
      <c r="A26" s="11" t="s">
        <v>46</v>
      </c>
      <c r="B26" s="11"/>
      <c r="C26" s="12">
        <v>74</v>
      </c>
      <c r="D26" s="6">
        <v>0.26639786881704947</v>
      </c>
    </row>
    <row r="27" spans="1:4" ht="18" customHeight="1" x14ac:dyDescent="0.2">
      <c r="A27" s="11" t="s">
        <v>47</v>
      </c>
      <c r="B27" s="11"/>
      <c r="C27" s="12">
        <v>74</v>
      </c>
      <c r="D27" s="6">
        <v>0.26639786881704947</v>
      </c>
    </row>
    <row r="28" spans="1:4" ht="18" customHeight="1" x14ac:dyDescent="0.2">
      <c r="A28" s="11" t="s">
        <v>48</v>
      </c>
      <c r="B28" s="11"/>
      <c r="C28" s="12">
        <v>79.671435117507201</v>
      </c>
      <c r="D28" s="6">
        <v>0.28681487190405069</v>
      </c>
    </row>
    <row r="29" spans="1:4" ht="18" customHeight="1" x14ac:dyDescent="0.2">
      <c r="A29" s="11" t="s">
        <v>49</v>
      </c>
      <c r="B29" s="11"/>
      <c r="C29" s="12">
        <v>103.42950030772801</v>
      </c>
      <c r="D29" s="6">
        <v>0.37234322236204198</v>
      </c>
    </row>
    <row r="30" spans="1:4" ht="18" customHeight="1" x14ac:dyDescent="0.2">
      <c r="A30" s="11" t="s">
        <v>50</v>
      </c>
      <c r="B30" s="11"/>
      <c r="C30" s="12">
        <v>80.402570808906802</v>
      </c>
      <c r="D30" s="6">
        <v>0.2894469393365498</v>
      </c>
    </row>
    <row r="31" spans="1:4" s="16" customFormat="1" ht="18" customHeight="1" x14ac:dyDescent="0.2">
      <c r="A31" s="13" t="s">
        <v>6</v>
      </c>
      <c r="B31" s="13"/>
      <c r="C31" s="14">
        <v>66.333497567904203</v>
      </c>
      <c r="D31" s="15">
        <v>0.23879868085500833</v>
      </c>
    </row>
    <row r="32" spans="1:4" ht="18" customHeight="1" x14ac:dyDescent="0.2">
      <c r="A32" s="11" t="s">
        <v>51</v>
      </c>
      <c r="B32" s="11"/>
      <c r="C32" s="12">
        <v>58.032181482458498</v>
      </c>
      <c r="D32" s="6">
        <v>0.20891418202339443</v>
      </c>
    </row>
    <row r="33" spans="1:4" ht="18" customHeight="1" x14ac:dyDescent="0.2">
      <c r="A33" s="11" t="s">
        <v>52</v>
      </c>
      <c r="B33" s="11"/>
      <c r="C33" s="12">
        <v>40.997176616779903</v>
      </c>
      <c r="D33" s="6">
        <v>0.14758865511116678</v>
      </c>
    </row>
    <row r="34" spans="1:4" ht="18" customHeight="1" x14ac:dyDescent="0.2">
      <c r="A34" s="11" t="s">
        <v>53</v>
      </c>
      <c r="B34" s="11"/>
      <c r="C34" s="12">
        <v>55.826199687012299</v>
      </c>
      <c r="D34" s="6">
        <v>0.20097271109155557</v>
      </c>
    </row>
    <row r="35" spans="1:4" ht="18" customHeight="1" x14ac:dyDescent="0.2">
      <c r="A35" s="11" t="s">
        <v>54</v>
      </c>
      <c r="B35" s="11"/>
      <c r="C35" s="12">
        <v>60.973314203445</v>
      </c>
      <c r="D35" s="6">
        <v>0.21950217511500111</v>
      </c>
    </row>
    <row r="36" spans="1:4" ht="18" customHeight="1" x14ac:dyDescent="0.2">
      <c r="A36" s="11" t="s">
        <v>55</v>
      </c>
      <c r="B36" s="11"/>
      <c r="C36" s="12">
        <v>68.117758635751599</v>
      </c>
      <c r="D36" s="6">
        <v>0.24522196931295129</v>
      </c>
    </row>
    <row r="37" spans="1:4" ht="18" customHeight="1" x14ac:dyDescent="0.2">
      <c r="A37" s="11" t="s">
        <v>56</v>
      </c>
      <c r="B37" s="11"/>
      <c r="C37" s="12">
        <v>139</v>
      </c>
      <c r="D37" s="6">
        <v>0.5003959968320254</v>
      </c>
    </row>
    <row r="38" spans="1:4" ht="18" customHeight="1" x14ac:dyDescent="0.2">
      <c r="A38" s="11" t="s">
        <v>57</v>
      </c>
      <c r="B38" s="11"/>
      <c r="C38" s="12">
        <v>91.5</v>
      </c>
      <c r="D38" s="6">
        <v>0.32939736482108145</v>
      </c>
    </row>
    <row r="39" spans="1:4" ht="18" customHeight="1" x14ac:dyDescent="0.2">
      <c r="A39" s="11" t="s">
        <v>58</v>
      </c>
      <c r="B39" s="11"/>
      <c r="C39" s="12">
        <v>71.099999999999994</v>
      </c>
      <c r="D39" s="6">
        <v>0.2559579523363813</v>
      </c>
    </row>
    <row r="40" spans="1:4" ht="18" customHeight="1" x14ac:dyDescent="0.2">
      <c r="A40" s="17" t="s">
        <v>59</v>
      </c>
      <c r="B40" s="11"/>
      <c r="C40" s="18"/>
    </row>
    <row r="41" spans="1:4" s="17" customFormat="1" ht="12.75" customHeight="1" x14ac:dyDescent="0.2">
      <c r="A41" s="17" t="s">
        <v>60</v>
      </c>
      <c r="D41" s="6"/>
    </row>
    <row r="42" spans="1:4" x14ac:dyDescent="0.2"/>
    <row r="43" spans="1:4" x14ac:dyDescent="0.2"/>
    <row r="44" spans="1:4" x14ac:dyDescent="0.2"/>
    <row r="45" spans="1:4" x14ac:dyDescent="0.2"/>
    <row r="46" spans="1:4" x14ac:dyDescent="0.2"/>
    <row r="47" spans="1:4" x14ac:dyDescent="0.2"/>
    <row r="48" spans="1:4" x14ac:dyDescent="0.2"/>
    <row r="49" x14ac:dyDescent="0.2"/>
    <row r="50" x14ac:dyDescent="0.2"/>
    <row r="51" x14ac:dyDescent="0.2"/>
    <row r="52" x14ac:dyDescent="0.2"/>
    <row r="53" x14ac:dyDescent="0.2"/>
    <row r="54" x14ac:dyDescent="0.2"/>
    <row r="55" hidden="1" x14ac:dyDescent="0.2"/>
    <row r="59" x14ac:dyDescent="0.2"/>
    <row r="60" x14ac:dyDescent="0.2"/>
    <row r="61" x14ac:dyDescent="0.2"/>
    <row r="62" x14ac:dyDescent="0.2"/>
    <row r="63" x14ac:dyDescent="0.2"/>
    <row r="64" x14ac:dyDescent="0.2"/>
    <row r="65" x14ac:dyDescent="0.2"/>
    <row r="66" x14ac:dyDescent="0.2"/>
    <row r="70" x14ac:dyDescent="0.2"/>
    <row r="77" x14ac:dyDescent="0.2"/>
    <row r="78" x14ac:dyDescent="0.2"/>
    <row r="79" x14ac:dyDescent="0.2"/>
    <row r="80" x14ac:dyDescent="0.2"/>
    <row r="81" x14ac:dyDescent="0.2"/>
    <row r="82" x14ac:dyDescent="0.2"/>
    <row r="83" x14ac:dyDescent="0.2"/>
    <row r="84" x14ac:dyDescent="0.2"/>
    <row r="85" x14ac:dyDescent="0.2"/>
    <row r="86" x14ac:dyDescent="0.2"/>
    <row r="91" x14ac:dyDescent="0.2"/>
    <row r="92" x14ac:dyDescent="0.2"/>
    <row r="93" x14ac:dyDescent="0.2"/>
    <row r="94" hidden="1"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sheetData>
  <sheetProtection algorithmName="SHA-512" hashValue="6tsiQeiB7y8guud9jK/k8Ftc9YmwDzj4D5nT0JeKxD9pTm8j1gt6jZJr68VGWLJJrJRTFxQLhvidMrhONihRsw==" saltValue="FvF43okXWkhuqOp5cVuNIA==" spinCount="100000" sheet="1" objects="1" scenarios="1"/>
  <mergeCells count="3">
    <mergeCell ref="A1:C1"/>
    <mergeCell ref="A2:C2"/>
    <mergeCell ref="A3:B4"/>
  </mergeCells>
  <printOptions horizontalCentered="1"/>
  <pageMargins left="0.39370078740157483" right="0.39370078740157483" top="0.98425196850393704" bottom="0.98425196850393704" header="0.39370078740157483" footer="0.39370078740157483"/>
  <pageSetup paperSize="9" scale="71"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364F-0EEE-408A-9958-47DAEF6C31BF}">
  <dimension ref="A2:E27"/>
  <sheetViews>
    <sheetView zoomScaleNormal="100" workbookViewId="0">
      <selection activeCell="C9" sqref="C9"/>
    </sheetView>
  </sheetViews>
  <sheetFormatPr baseColWidth="10" defaultRowHeight="14.4" x14ac:dyDescent="0.3"/>
  <cols>
    <col min="1" max="1" width="18" customWidth="1"/>
    <col min="2" max="2" width="10.6640625" customWidth="1"/>
    <col min="3" max="3" width="24.6640625" customWidth="1"/>
    <col min="4" max="4" width="30.44140625" bestFit="1" customWidth="1"/>
  </cols>
  <sheetData>
    <row r="2" spans="1:4" x14ac:dyDescent="0.3">
      <c r="A2" s="241" t="s">
        <v>0</v>
      </c>
      <c r="B2" s="242"/>
      <c r="C2" s="242"/>
      <c r="D2" s="243"/>
    </row>
    <row r="3" spans="1:4" x14ac:dyDescent="0.3">
      <c r="A3" s="244"/>
      <c r="B3" s="245"/>
      <c r="C3" s="245"/>
      <c r="D3" s="246"/>
    </row>
    <row r="5" spans="1:4" ht="28.8" x14ac:dyDescent="0.3">
      <c r="A5" s="1" t="s">
        <v>1</v>
      </c>
      <c r="B5" s="2" t="s">
        <v>2</v>
      </c>
      <c r="C5" s="2" t="s">
        <v>71</v>
      </c>
      <c r="D5" s="2" t="s">
        <v>70</v>
      </c>
    </row>
    <row r="6" spans="1:4" x14ac:dyDescent="0.3">
      <c r="A6" s="3" t="s">
        <v>3</v>
      </c>
      <c r="B6" s="3" t="s">
        <v>4</v>
      </c>
      <c r="C6" s="3">
        <v>9.94</v>
      </c>
      <c r="D6" s="3">
        <v>10.6</v>
      </c>
    </row>
    <row r="7" spans="1:4" x14ac:dyDescent="0.3">
      <c r="A7" s="3" t="s">
        <v>5</v>
      </c>
      <c r="B7" s="3" t="s">
        <v>4</v>
      </c>
      <c r="C7" s="3">
        <v>10.9</v>
      </c>
      <c r="D7" s="3">
        <v>11.3</v>
      </c>
    </row>
    <row r="8" spans="1:4" x14ac:dyDescent="0.3">
      <c r="A8" s="3" t="s">
        <v>6</v>
      </c>
      <c r="B8" s="3" t="s">
        <v>7</v>
      </c>
      <c r="C8" s="3">
        <v>12.77</v>
      </c>
      <c r="D8" s="3">
        <v>14.06</v>
      </c>
    </row>
    <row r="9" spans="1:4" ht="28.8" x14ac:dyDescent="0.3">
      <c r="A9" s="4" t="s">
        <v>8</v>
      </c>
      <c r="B9" s="3" t="s">
        <v>9</v>
      </c>
      <c r="C9" s="3">
        <v>9.77</v>
      </c>
      <c r="D9" s="3">
        <v>10.78</v>
      </c>
    </row>
    <row r="10" spans="1:4" x14ac:dyDescent="0.3">
      <c r="A10" s="3" t="s">
        <v>10</v>
      </c>
      <c r="B10" s="3" t="s">
        <v>7</v>
      </c>
      <c r="C10" s="3">
        <v>8.36</v>
      </c>
      <c r="D10" s="3">
        <v>8.6</v>
      </c>
    </row>
    <row r="11" spans="1:4" x14ac:dyDescent="0.3">
      <c r="A11" s="3" t="s">
        <v>11</v>
      </c>
      <c r="B11" s="3" t="s">
        <v>7</v>
      </c>
      <c r="C11" s="3">
        <v>5.6</v>
      </c>
      <c r="D11" s="3">
        <v>6</v>
      </c>
    </row>
    <row r="12" spans="1:4" x14ac:dyDescent="0.3">
      <c r="A12" s="3" t="s">
        <v>12</v>
      </c>
      <c r="B12" s="3" t="s">
        <v>4</v>
      </c>
      <c r="C12" s="3">
        <v>9.02</v>
      </c>
      <c r="D12" s="3">
        <v>9.92</v>
      </c>
    </row>
    <row r="13" spans="1:4" x14ac:dyDescent="0.3">
      <c r="A13" s="3" t="s">
        <v>13</v>
      </c>
      <c r="B13" s="3" t="s">
        <v>4</v>
      </c>
      <c r="C13" s="3">
        <v>9.9600000000000009</v>
      </c>
      <c r="D13" s="3">
        <v>10.66</v>
      </c>
    </row>
    <row r="14" spans="1:4" x14ac:dyDescent="0.3">
      <c r="A14" s="3" t="s">
        <v>14</v>
      </c>
      <c r="B14" s="3" t="s">
        <v>7</v>
      </c>
      <c r="C14" s="3">
        <v>4.07</v>
      </c>
      <c r="D14" s="3">
        <v>4.4000000000000004</v>
      </c>
    </row>
    <row r="15" spans="1:4" x14ac:dyDescent="0.3">
      <c r="A15" s="3" t="s">
        <v>15</v>
      </c>
      <c r="B15" s="3" t="s">
        <v>7</v>
      </c>
      <c r="C15" s="3">
        <v>5</v>
      </c>
      <c r="D15" s="3">
        <v>5.4</v>
      </c>
    </row>
    <row r="16" spans="1:4" x14ac:dyDescent="0.3">
      <c r="A16" s="3" t="s">
        <v>16</v>
      </c>
      <c r="B16" s="3" t="s">
        <v>9</v>
      </c>
      <c r="C16" s="3">
        <v>5</v>
      </c>
      <c r="D16" s="3">
        <v>7.5</v>
      </c>
    </row>
    <row r="17" spans="1:5" x14ac:dyDescent="0.3">
      <c r="A17" s="3" t="s">
        <v>17</v>
      </c>
      <c r="B17" s="3" t="s">
        <v>4</v>
      </c>
      <c r="C17" s="3">
        <v>9.0399999999999991</v>
      </c>
      <c r="D17" s="3">
        <v>9.7799999999999994</v>
      </c>
    </row>
    <row r="18" spans="1:5" x14ac:dyDescent="0.3">
      <c r="A18" s="3" t="s">
        <v>18</v>
      </c>
      <c r="B18" s="3" t="s">
        <v>9</v>
      </c>
      <c r="C18" s="3">
        <v>3</v>
      </c>
      <c r="D18" s="3">
        <v>3.54</v>
      </c>
    </row>
    <row r="19" spans="1:5" x14ac:dyDescent="0.3">
      <c r="A19" s="3" t="s">
        <v>19</v>
      </c>
      <c r="B19" s="3" t="s">
        <v>20</v>
      </c>
      <c r="C19" s="3">
        <v>1</v>
      </c>
      <c r="D19" s="3">
        <v>1</v>
      </c>
    </row>
    <row r="20" spans="1:5" x14ac:dyDescent="0.3">
      <c r="A20" s="5" t="s">
        <v>21</v>
      </c>
      <c r="B20" s="3" t="s">
        <v>20</v>
      </c>
      <c r="C20" s="3">
        <v>1</v>
      </c>
      <c r="D20" s="3">
        <v>1</v>
      </c>
    </row>
    <row r="23" spans="1:5" x14ac:dyDescent="0.3">
      <c r="A23" s="28" t="s">
        <v>156</v>
      </c>
    </row>
    <row r="24" spans="1:5" x14ac:dyDescent="0.3">
      <c r="A24" t="s">
        <v>172</v>
      </c>
      <c r="C24" s="31">
        <v>6.3</v>
      </c>
      <c r="D24" s="31">
        <v>9.5728000000000009</v>
      </c>
      <c r="E24">
        <v>7.1</v>
      </c>
    </row>
    <row r="25" spans="1:5" x14ac:dyDescent="0.3">
      <c r="D25">
        <f>+D12*96.5%</f>
        <v>9.5727999999999991</v>
      </c>
    </row>
    <row r="26" spans="1:5" x14ac:dyDescent="0.3">
      <c r="A26" t="s">
        <v>173</v>
      </c>
    </row>
    <row r="27" spans="1:5" x14ac:dyDescent="0.3">
      <c r="A27" t="s">
        <v>174</v>
      </c>
    </row>
  </sheetData>
  <mergeCells count="1">
    <mergeCell ref="A2:D3"/>
  </mergeCells>
  <hyperlinks>
    <hyperlink ref="A23" r:id="rId1" xr:uid="{6059995B-A2BF-4D37-8194-A919EE2693F4}"/>
  </hyperlinks>
  <pageMargins left="0.7" right="0.7" top="0.78740157499999996" bottom="0.78740157499999996" header="0.3" footer="0.3"/>
  <pageSetup paperSize="9" orientation="portrait" horizontalDpi="300" verticalDpi="9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C9BC-4BB6-45D2-96C6-A7C4B107CE3B}">
  <dimension ref="A3:D25"/>
  <sheetViews>
    <sheetView workbookViewId="0">
      <selection activeCell="G26" sqref="G26"/>
    </sheetView>
  </sheetViews>
  <sheetFormatPr baseColWidth="10" defaultRowHeight="14.4" x14ac:dyDescent="0.3"/>
  <cols>
    <col min="1" max="1" width="9.5546875" bestFit="1" customWidth="1"/>
    <col min="2" max="2" width="37.6640625" customWidth="1"/>
    <col min="3" max="3" width="19.109375" bestFit="1" customWidth="1"/>
    <col min="4" max="4" width="23" customWidth="1"/>
  </cols>
  <sheetData>
    <row r="3" spans="1:4" x14ac:dyDescent="0.3">
      <c r="A3" s="237" t="s">
        <v>1</v>
      </c>
      <c r="B3" s="238"/>
      <c r="C3" s="8" t="s">
        <v>22</v>
      </c>
      <c r="D3" s="6"/>
    </row>
    <row r="4" spans="1:4" ht="26.4" x14ac:dyDescent="0.3">
      <c r="A4" s="239"/>
      <c r="B4" s="240"/>
      <c r="C4" s="9" t="s">
        <v>23</v>
      </c>
      <c r="D4" s="10" t="s">
        <v>89</v>
      </c>
    </row>
    <row r="5" spans="1:4" x14ac:dyDescent="0.3">
      <c r="A5" s="11" t="s">
        <v>282</v>
      </c>
      <c r="B5" s="11"/>
      <c r="C5" s="12">
        <f>'CO2-Faktoren (LAK)'!C22</f>
        <v>73.101832713242402</v>
      </c>
      <c r="D5" s="6">
        <f>C5/277.78</f>
        <v>0.26316449245173307</v>
      </c>
    </row>
    <row r="6" spans="1:4" x14ac:dyDescent="0.3">
      <c r="A6" s="11" t="s">
        <v>283</v>
      </c>
      <c r="B6" s="11"/>
      <c r="C6" s="12">
        <f>'CO2-Faktoren (LAK)'!C23</f>
        <v>73.3</v>
      </c>
      <c r="D6" s="6">
        <f t="shared" ref="D6" si="0">C6/277.78</f>
        <v>0.26387788897688819</v>
      </c>
    </row>
    <row r="7" spans="1:4" x14ac:dyDescent="0.3">
      <c r="A7" s="11" t="s">
        <v>46</v>
      </c>
      <c r="B7" s="11"/>
      <c r="C7" s="12">
        <f>'CO2-Faktoren (LAK)'!C26</f>
        <v>74</v>
      </c>
      <c r="D7" s="6">
        <f>C7/277.78</f>
        <v>0.26639786881704947</v>
      </c>
    </row>
    <row r="25" spans="1:1" x14ac:dyDescent="0.3">
      <c r="A25" t="s">
        <v>201</v>
      </c>
    </row>
  </sheetData>
  <mergeCells count="1">
    <mergeCell ref="A3:B4"/>
  </mergeCells>
  <pageMargins left="0.7" right="0.7" top="0.78740157499999996" bottom="0.78740157499999996" header="0.3" footer="0.3"/>
  <pageSetup paperSize="9" orientation="portrait"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51EF-31F2-4B70-9586-D216B46FD344}">
  <dimension ref="B2:T27"/>
  <sheetViews>
    <sheetView workbookViewId="0">
      <selection activeCell="A25" sqref="A25"/>
    </sheetView>
  </sheetViews>
  <sheetFormatPr baseColWidth="10" defaultRowHeight="14.4" x14ac:dyDescent="0.3"/>
  <cols>
    <col min="7" max="7" width="24.33203125" bestFit="1" customWidth="1"/>
    <col min="8" max="8" width="2.6640625" customWidth="1"/>
    <col min="10" max="10" width="3.88671875" customWidth="1"/>
    <col min="14" max="14" width="6.33203125" bestFit="1" customWidth="1"/>
    <col min="15" max="16" width="8.33203125" bestFit="1" customWidth="1"/>
    <col min="17" max="17" width="8.5546875" bestFit="1" customWidth="1"/>
    <col min="18" max="18" width="10.44140625" bestFit="1" customWidth="1"/>
    <col min="19" max="19" width="16.6640625" bestFit="1" customWidth="1"/>
  </cols>
  <sheetData>
    <row r="2" spans="2:20" x14ac:dyDescent="0.3">
      <c r="G2" s="28" t="s">
        <v>146</v>
      </c>
    </row>
    <row r="3" spans="2:20" x14ac:dyDescent="0.3">
      <c r="B3" s="247" t="s">
        <v>91</v>
      </c>
      <c r="C3" s="247"/>
      <c r="D3" s="247"/>
      <c r="E3" s="20"/>
      <c r="F3" s="20"/>
      <c r="G3" s="248" t="s">
        <v>122</v>
      </c>
      <c r="H3" s="248"/>
      <c r="I3" s="248"/>
      <c r="J3" s="248"/>
      <c r="K3" s="248"/>
      <c r="M3" s="249" t="s">
        <v>147</v>
      </c>
      <c r="N3" s="250"/>
      <c r="O3" s="250"/>
      <c r="P3" s="250"/>
      <c r="Q3" s="251"/>
      <c r="R3" s="30"/>
      <c r="T3" s="28" t="s">
        <v>155</v>
      </c>
    </row>
    <row r="4" spans="2:20" ht="28.8" x14ac:dyDescent="0.3">
      <c r="B4" s="21"/>
      <c r="C4" s="22"/>
      <c r="D4" s="22"/>
      <c r="E4" s="20"/>
      <c r="F4" s="20"/>
      <c r="G4" s="3" t="s">
        <v>123</v>
      </c>
      <c r="H4" s="3" t="s">
        <v>124</v>
      </c>
      <c r="I4" s="3" t="s">
        <v>125</v>
      </c>
      <c r="J4" s="27" t="s">
        <v>124</v>
      </c>
      <c r="K4" s="3" t="s">
        <v>126</v>
      </c>
      <c r="M4" s="29"/>
      <c r="N4" s="29" t="s">
        <v>154</v>
      </c>
      <c r="O4" s="29" t="s">
        <v>153</v>
      </c>
      <c r="P4" s="29" t="s">
        <v>152</v>
      </c>
      <c r="Q4" s="29" t="s">
        <v>150</v>
      </c>
      <c r="R4" s="29" t="s">
        <v>151</v>
      </c>
    </row>
    <row r="5" spans="2:20" x14ac:dyDescent="0.3">
      <c r="B5" s="23" t="s">
        <v>92</v>
      </c>
      <c r="C5" s="22" t="s">
        <v>99</v>
      </c>
      <c r="D5" s="22"/>
      <c r="E5" s="20"/>
      <c r="F5" s="20"/>
      <c r="G5" s="3" t="s">
        <v>127</v>
      </c>
      <c r="H5" s="3" t="s">
        <v>124</v>
      </c>
      <c r="I5" s="3" t="s">
        <v>128</v>
      </c>
      <c r="J5" s="27" t="s">
        <v>124</v>
      </c>
      <c r="K5" s="3" t="s">
        <v>129</v>
      </c>
      <c r="M5" s="29" t="s">
        <v>148</v>
      </c>
      <c r="N5" s="29">
        <v>0.74</v>
      </c>
      <c r="O5" s="29">
        <v>43.9</v>
      </c>
      <c r="P5" s="29">
        <v>32.49</v>
      </c>
      <c r="Q5" s="29">
        <v>12.19</v>
      </c>
      <c r="R5" s="29">
        <v>1</v>
      </c>
    </row>
    <row r="6" spans="2:20" x14ac:dyDescent="0.3">
      <c r="B6" s="23" t="s">
        <v>93</v>
      </c>
      <c r="C6" s="22" t="s">
        <v>100</v>
      </c>
      <c r="D6" s="22"/>
      <c r="E6" s="20"/>
      <c r="F6" s="20"/>
      <c r="G6" s="3" t="s">
        <v>130</v>
      </c>
      <c r="H6" s="3" t="s">
        <v>124</v>
      </c>
      <c r="I6" s="3" t="s">
        <v>121</v>
      </c>
      <c r="J6" s="27" t="s">
        <v>124</v>
      </c>
      <c r="K6" s="3" t="s">
        <v>120</v>
      </c>
      <c r="M6" s="29" t="s">
        <v>90</v>
      </c>
      <c r="N6" s="29">
        <v>0.83</v>
      </c>
      <c r="O6" s="29">
        <v>43.1</v>
      </c>
      <c r="P6" s="29">
        <v>35.770000000000003</v>
      </c>
      <c r="Q6" s="29">
        <v>11.97</v>
      </c>
      <c r="R6" s="29">
        <v>1</v>
      </c>
    </row>
    <row r="7" spans="2:20" x14ac:dyDescent="0.3">
      <c r="B7" s="23" t="s">
        <v>94</v>
      </c>
      <c r="C7" s="22" t="s">
        <v>101</v>
      </c>
      <c r="D7" s="22"/>
      <c r="E7" s="20"/>
      <c r="F7" s="20"/>
      <c r="G7" s="3" t="s">
        <v>131</v>
      </c>
      <c r="H7" s="3" t="s">
        <v>124</v>
      </c>
      <c r="I7" s="3" t="s">
        <v>132</v>
      </c>
      <c r="J7" s="27" t="s">
        <v>124</v>
      </c>
      <c r="K7" s="3" t="s">
        <v>133</v>
      </c>
      <c r="M7" s="29" t="s">
        <v>149</v>
      </c>
      <c r="N7" s="29">
        <v>0.79</v>
      </c>
      <c r="O7" s="29">
        <v>26.7</v>
      </c>
      <c r="P7" s="29">
        <v>21.09</v>
      </c>
      <c r="Q7" s="29">
        <v>7.42</v>
      </c>
      <c r="R7" s="29">
        <v>0.65</v>
      </c>
    </row>
    <row r="8" spans="2:20" x14ac:dyDescent="0.3">
      <c r="B8" s="23" t="s">
        <v>95</v>
      </c>
      <c r="C8" s="22" t="s">
        <v>102</v>
      </c>
      <c r="D8" s="22"/>
      <c r="E8" s="20"/>
      <c r="F8" s="20"/>
      <c r="G8" s="3" t="s">
        <v>134</v>
      </c>
      <c r="H8" s="3" t="s">
        <v>124</v>
      </c>
      <c r="I8" s="3" t="s">
        <v>135</v>
      </c>
      <c r="J8" s="27" t="s">
        <v>124</v>
      </c>
      <c r="K8" s="3" t="s">
        <v>136</v>
      </c>
      <c r="M8" s="29" t="s">
        <v>17</v>
      </c>
      <c r="N8" s="29">
        <v>0.88</v>
      </c>
      <c r="O8" s="29">
        <v>37.14</v>
      </c>
      <c r="P8" s="29">
        <v>32.68</v>
      </c>
      <c r="Q8" s="29">
        <v>10.32</v>
      </c>
      <c r="R8" s="29">
        <v>0.91</v>
      </c>
    </row>
    <row r="9" spans="2:20" x14ac:dyDescent="0.3">
      <c r="B9" s="23" t="s">
        <v>96</v>
      </c>
      <c r="C9" s="22" t="s">
        <v>103</v>
      </c>
      <c r="D9" s="22"/>
      <c r="E9" s="20"/>
      <c r="F9" s="20"/>
      <c r="G9" s="3" t="s">
        <v>137</v>
      </c>
      <c r="H9" s="3" t="s">
        <v>124</v>
      </c>
      <c r="I9" s="3" t="s">
        <v>138</v>
      </c>
      <c r="J9" s="27" t="s">
        <v>124</v>
      </c>
      <c r="K9" s="3" t="s">
        <v>139</v>
      </c>
    </row>
    <row r="10" spans="2:20" x14ac:dyDescent="0.3">
      <c r="B10" s="23" t="s">
        <v>97</v>
      </c>
      <c r="C10" s="22" t="s">
        <v>104</v>
      </c>
      <c r="D10" s="22"/>
      <c r="E10" s="20"/>
      <c r="F10" s="20"/>
      <c r="G10" s="3" t="s">
        <v>140</v>
      </c>
      <c r="H10" s="3" t="s">
        <v>124</v>
      </c>
      <c r="I10" s="3" t="s">
        <v>141</v>
      </c>
      <c r="J10" s="27" t="s">
        <v>124</v>
      </c>
      <c r="K10" s="3" t="s">
        <v>142</v>
      </c>
    </row>
    <row r="11" spans="2:20" x14ac:dyDescent="0.3">
      <c r="B11" s="23" t="s">
        <v>98</v>
      </c>
      <c r="C11" s="22" t="s">
        <v>105</v>
      </c>
      <c r="D11" s="22"/>
      <c r="E11" s="20"/>
      <c r="F11" s="20"/>
      <c r="G11" s="3" t="s">
        <v>143</v>
      </c>
      <c r="H11" s="3" t="s">
        <v>124</v>
      </c>
      <c r="I11" s="3" t="s">
        <v>144</v>
      </c>
      <c r="J11" s="27" t="s">
        <v>124</v>
      </c>
      <c r="K11" s="3" t="s">
        <v>145</v>
      </c>
    </row>
    <row r="13" spans="2:20" x14ac:dyDescent="0.3">
      <c r="B13" s="24" t="s">
        <v>113</v>
      </c>
      <c r="C13" s="25"/>
      <c r="D13" s="25"/>
    </row>
    <row r="14" spans="2:20" x14ac:dyDescent="0.3">
      <c r="B14" t="s">
        <v>106</v>
      </c>
    </row>
    <row r="15" spans="2:20" x14ac:dyDescent="0.3">
      <c r="B15" t="s">
        <v>107</v>
      </c>
    </row>
    <row r="16" spans="2:20" x14ac:dyDescent="0.3">
      <c r="B16" t="s">
        <v>108</v>
      </c>
    </row>
    <row r="17" spans="2:10" x14ac:dyDescent="0.3">
      <c r="B17" t="s">
        <v>109</v>
      </c>
    </row>
    <row r="18" spans="2:10" x14ac:dyDescent="0.3">
      <c r="B18" t="s">
        <v>110</v>
      </c>
    </row>
    <row r="19" spans="2:10" x14ac:dyDescent="0.3">
      <c r="B19" t="s">
        <v>111</v>
      </c>
    </row>
    <row r="20" spans="2:10" x14ac:dyDescent="0.3">
      <c r="B20" t="s">
        <v>112</v>
      </c>
    </row>
    <row r="22" spans="2:10" x14ac:dyDescent="0.3">
      <c r="B22" t="s">
        <v>114</v>
      </c>
    </row>
    <row r="23" spans="2:10" x14ac:dyDescent="0.3">
      <c r="B23" t="s">
        <v>115</v>
      </c>
      <c r="J23" s="26"/>
    </row>
    <row r="24" spans="2:10" x14ac:dyDescent="0.3">
      <c r="B24" t="s">
        <v>116</v>
      </c>
    </row>
    <row r="25" spans="2:10" x14ac:dyDescent="0.3">
      <c r="B25" t="s">
        <v>117</v>
      </c>
    </row>
    <row r="26" spans="2:10" x14ac:dyDescent="0.3">
      <c r="B26" t="s">
        <v>118</v>
      </c>
    </row>
    <row r="27" spans="2:10" x14ac:dyDescent="0.3">
      <c r="B27" t="s">
        <v>119</v>
      </c>
    </row>
  </sheetData>
  <mergeCells count="3">
    <mergeCell ref="B3:D3"/>
    <mergeCell ref="G3:K3"/>
    <mergeCell ref="M3:Q3"/>
  </mergeCells>
  <hyperlinks>
    <hyperlink ref="G2" r:id="rId1" xr:uid="{F6B586D6-3E3E-4FE2-AB1A-2B29541E0BBA}"/>
    <hyperlink ref="T3" r:id="rId2" xr:uid="{95CE2544-F52E-42A6-9DBF-607CCDCD26A3}"/>
  </hyperlinks>
  <pageMargins left="0.7" right="0.7" top="0.78740157499999996" bottom="0.78740157499999996"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70FC-8354-430F-ADAB-A64BBA452002}">
  <sheetPr>
    <tabColor rgb="FFFFFF00"/>
    <pageSetUpPr fitToPage="1"/>
  </sheetPr>
  <dimension ref="A1:T43"/>
  <sheetViews>
    <sheetView showGridLines="0" zoomScale="70" zoomScaleNormal="70" workbookViewId="0">
      <selection activeCell="R8" sqref="R8"/>
    </sheetView>
  </sheetViews>
  <sheetFormatPr baseColWidth="10" defaultColWidth="11.5546875" defaultRowHeight="165.6" customHeight="1" x14ac:dyDescent="0.3"/>
  <cols>
    <col min="1" max="1" width="4.5546875" style="58" bestFit="1" customWidth="1"/>
    <col min="2" max="4" width="23.33203125" style="58" customWidth="1"/>
    <col min="5" max="9" width="15.6640625" style="58" customWidth="1"/>
    <col min="10" max="10" width="20.6640625" style="58" customWidth="1"/>
    <col min="11" max="15" width="15.6640625" style="58" customWidth="1"/>
    <col min="16" max="17" width="20.6640625" style="58" customWidth="1"/>
    <col min="18" max="16384" width="11.5546875" style="58"/>
  </cols>
  <sheetData>
    <row r="1" spans="1:20" ht="190.95" customHeight="1" thickBot="1" x14ac:dyDescent="0.35">
      <c r="A1" s="195" t="s">
        <v>285</v>
      </c>
      <c r="B1" s="196"/>
      <c r="C1" s="196"/>
      <c r="D1" s="196"/>
      <c r="E1" s="196"/>
      <c r="F1" s="196"/>
      <c r="G1" s="196"/>
      <c r="H1" s="196"/>
      <c r="I1" s="196"/>
      <c r="J1" s="196"/>
      <c r="K1" s="196"/>
      <c r="L1" s="196"/>
      <c r="M1" s="196"/>
      <c r="N1" s="196"/>
      <c r="O1" s="196"/>
      <c r="P1" s="196"/>
      <c r="Q1" s="197"/>
    </row>
    <row r="2" spans="1:20" ht="14.4" customHeight="1" thickBot="1" x14ac:dyDescent="0.35">
      <c r="A2" s="198"/>
      <c r="B2" s="200" t="s">
        <v>64</v>
      </c>
      <c r="C2" s="200"/>
      <c r="D2" s="200"/>
      <c r="E2" s="201" t="s">
        <v>204</v>
      </c>
      <c r="F2" s="202"/>
      <c r="G2" s="202"/>
      <c r="H2" s="202"/>
      <c r="I2" s="202"/>
      <c r="J2" s="202"/>
      <c r="K2" s="202"/>
      <c r="L2" s="202"/>
      <c r="M2" s="202"/>
      <c r="N2" s="202"/>
      <c r="O2" s="202"/>
      <c r="P2" s="202"/>
      <c r="Q2" s="203"/>
      <c r="T2" s="59"/>
    </row>
    <row r="3" spans="1:20" ht="28.2" thickBot="1" x14ac:dyDescent="0.35">
      <c r="A3" s="199"/>
      <c r="B3" s="192" t="s">
        <v>197</v>
      </c>
      <c r="C3" s="192" t="s">
        <v>160</v>
      </c>
      <c r="D3" s="192" t="s">
        <v>200</v>
      </c>
      <c r="E3" s="148" t="s">
        <v>260</v>
      </c>
      <c r="F3" s="148" t="s">
        <v>261</v>
      </c>
      <c r="G3" s="148" t="s">
        <v>262</v>
      </c>
      <c r="H3" s="148" t="s">
        <v>263</v>
      </c>
      <c r="I3" s="148" t="s">
        <v>264</v>
      </c>
      <c r="J3" s="148" t="s">
        <v>265</v>
      </c>
      <c r="K3" s="148" t="s">
        <v>266</v>
      </c>
      <c r="L3" s="148" t="s">
        <v>267</v>
      </c>
      <c r="M3" s="148" t="s">
        <v>268</v>
      </c>
      <c r="N3" s="148" t="s">
        <v>292</v>
      </c>
      <c r="O3" s="192" t="s">
        <v>62</v>
      </c>
      <c r="P3" s="193" t="s">
        <v>184</v>
      </c>
      <c r="Q3" s="59"/>
      <c r="R3" s="59"/>
      <c r="S3" s="59"/>
    </row>
    <row r="4" spans="1:20" ht="14.4" customHeight="1" thickBot="1" x14ac:dyDescent="0.35">
      <c r="A4" s="199"/>
      <c r="B4" s="192"/>
      <c r="C4" s="192"/>
      <c r="D4" s="192"/>
      <c r="E4" s="79">
        <v>55</v>
      </c>
      <c r="F4" s="79">
        <v>65</v>
      </c>
      <c r="G4" s="79">
        <v>65</v>
      </c>
      <c r="H4" s="79">
        <v>65</v>
      </c>
      <c r="I4" s="79">
        <v>65</v>
      </c>
      <c r="J4" s="79">
        <v>65</v>
      </c>
      <c r="K4" s="79">
        <v>65</v>
      </c>
      <c r="L4" s="79">
        <v>65</v>
      </c>
      <c r="M4" s="79">
        <v>65</v>
      </c>
      <c r="N4" s="79">
        <v>65</v>
      </c>
      <c r="O4" s="192"/>
      <c r="P4" s="193"/>
      <c r="Q4" s="59"/>
      <c r="R4" s="59"/>
      <c r="S4" s="59"/>
    </row>
    <row r="5" spans="1:20" ht="14.4" customHeight="1" thickBot="1" x14ac:dyDescent="0.35">
      <c r="A5" s="199"/>
      <c r="B5" s="204"/>
      <c r="C5" s="204"/>
      <c r="D5" s="204"/>
      <c r="E5" s="64" t="s">
        <v>175</v>
      </c>
      <c r="F5" s="64" t="s">
        <v>175</v>
      </c>
      <c r="G5" s="64" t="s">
        <v>175</v>
      </c>
      <c r="H5" s="64" t="s">
        <v>175</v>
      </c>
      <c r="I5" s="64" t="s">
        <v>175</v>
      </c>
      <c r="J5" s="64" t="s">
        <v>175</v>
      </c>
      <c r="K5" s="64" t="s">
        <v>175</v>
      </c>
      <c r="L5" s="64" t="s">
        <v>175</v>
      </c>
      <c r="M5" s="64" t="s">
        <v>175</v>
      </c>
      <c r="N5" s="64" t="s">
        <v>175</v>
      </c>
      <c r="O5" s="192"/>
      <c r="P5" s="193"/>
      <c r="Q5" s="59"/>
      <c r="R5" s="59"/>
      <c r="S5" s="59"/>
    </row>
    <row r="6" spans="1:20" ht="14.4" customHeight="1" thickTop="1" thickBot="1" x14ac:dyDescent="0.35">
      <c r="A6" s="179" t="s">
        <v>65</v>
      </c>
      <c r="B6" s="75" t="s">
        <v>291</v>
      </c>
      <c r="C6" s="76" t="s">
        <v>83</v>
      </c>
      <c r="D6" s="76">
        <v>340000</v>
      </c>
      <c r="E6" s="60">
        <f>IFERROR(IF(D6&gt;=0,D6*VLOOKUP(C6,CO2_Aufschlag,5,FALSE)/100,0),0)</f>
        <v>4981.6401468788263</v>
      </c>
      <c r="F6" s="60">
        <f t="shared" ref="F6:F15" si="0">IFERROR(IF(D6&gt;=0,D6*VLOOKUP(C6,CO2_Aufschlag,6,FALSE)/100,0),0)</f>
        <v>5887.3929008567939</v>
      </c>
      <c r="G6" s="60">
        <f t="shared" ref="G6:G15" si="1">IFERROR(IF(D6&gt;=0,D6*VLOOKUP(C6,CO2_Aufschlag,7,FALSE)/100,0),0)</f>
        <v>5887.3929008567939</v>
      </c>
      <c r="H6" s="60">
        <f t="shared" ref="H6:H15" si="2">IFERROR(IF(D6&gt;=0,D6*VLOOKUP(C6,CO2_Aufschlag,8,FALSE)/100,0),0)</f>
        <v>5887.3929008567939</v>
      </c>
      <c r="I6" s="60">
        <f t="shared" ref="I6:I15" si="3">IFERROR(IF(D6&gt;=0,D6*VLOOKUP(C6,CO2_Aufschlag,9,FALSE)/100,0),0)</f>
        <v>5887.3929008567939</v>
      </c>
      <c r="J6" s="60">
        <f t="shared" ref="J6:J15" si="4">IFERROR(IF(D6&gt;=0,D6*VLOOKUP(C6,CO2_Aufschlag,10,FALSE)/100,0),0)</f>
        <v>5887.3929008567939</v>
      </c>
      <c r="K6" s="60">
        <f t="shared" ref="K6:K15" si="5">IFERROR(IF(D6&gt;=0,D6*VLOOKUP(C6,CO2_Aufschlag,11,FALSE)/100,0),0)</f>
        <v>5887.3929008567939</v>
      </c>
      <c r="L6" s="60">
        <f t="shared" ref="L6:L15" si="6">IFERROR(IF(D6&gt;=0,D6*VLOOKUP(C6,CO2_Aufschlag,12,FALSE)/100,0),0)</f>
        <v>5887.3929008567939</v>
      </c>
      <c r="M6" s="60">
        <f t="shared" ref="M6:M15" si="7">IFERROR(IF(D6&gt;=0,D6*VLOOKUP(C6,CO2_Aufschlag,13,FALSE)/100,0),0)</f>
        <v>5887.3929008567939</v>
      </c>
      <c r="N6" s="60">
        <f t="shared" ref="N6:N15" si="8">IFERROR(IF(D6&gt;=0,D6*VLOOKUP(C6,CO2_Aufschlag,14,FALSE)/100,0),0)</f>
        <v>5887.3929008567939</v>
      </c>
      <c r="O6" s="64">
        <f t="shared" ref="O6:O15" si="9">SUM(E6:I6)+SUM(J6:N6)</f>
        <v>57968.176254589969</v>
      </c>
      <c r="P6" s="80"/>
      <c r="Q6" s="61"/>
      <c r="R6" s="59"/>
      <c r="S6" s="59"/>
    </row>
    <row r="7" spans="1:20" ht="14.4" customHeight="1" thickTop="1" thickBot="1" x14ac:dyDescent="0.35">
      <c r="A7" s="179"/>
      <c r="B7" s="75"/>
      <c r="C7" s="76"/>
      <c r="D7" s="76"/>
      <c r="E7" s="60">
        <f t="shared" ref="E7:E15" si="10">IFERROR(IF(D7&gt;=0,D7*VLOOKUP(C7,CO2_Aufschlag,5,FALSE)/100,0),0)</f>
        <v>0</v>
      </c>
      <c r="F7" s="60">
        <f t="shared" si="0"/>
        <v>0</v>
      </c>
      <c r="G7" s="60">
        <f t="shared" si="1"/>
        <v>0</v>
      </c>
      <c r="H7" s="60">
        <f t="shared" si="2"/>
        <v>0</v>
      </c>
      <c r="I7" s="60">
        <f t="shared" si="3"/>
        <v>0</v>
      </c>
      <c r="J7" s="60">
        <f t="shared" si="4"/>
        <v>0</v>
      </c>
      <c r="K7" s="60">
        <f t="shared" si="5"/>
        <v>0</v>
      </c>
      <c r="L7" s="60">
        <f t="shared" si="6"/>
        <v>0</v>
      </c>
      <c r="M7" s="60">
        <f t="shared" si="7"/>
        <v>0</v>
      </c>
      <c r="N7" s="60">
        <f t="shared" si="8"/>
        <v>0</v>
      </c>
      <c r="O7" s="64">
        <f t="shared" si="9"/>
        <v>0</v>
      </c>
      <c r="P7" s="80"/>
      <c r="Q7" s="61"/>
      <c r="R7" s="59"/>
      <c r="S7" s="59"/>
    </row>
    <row r="8" spans="1:20" ht="14.4" customHeight="1" thickTop="1" thickBot="1" x14ac:dyDescent="0.35">
      <c r="A8" s="179"/>
      <c r="B8" s="75"/>
      <c r="C8" s="76"/>
      <c r="D8" s="76"/>
      <c r="E8" s="60">
        <f t="shared" si="10"/>
        <v>0</v>
      </c>
      <c r="F8" s="60">
        <f t="shared" si="0"/>
        <v>0</v>
      </c>
      <c r="G8" s="60">
        <f t="shared" si="1"/>
        <v>0</v>
      </c>
      <c r="H8" s="60">
        <f t="shared" si="2"/>
        <v>0</v>
      </c>
      <c r="I8" s="60">
        <f t="shared" si="3"/>
        <v>0</v>
      </c>
      <c r="J8" s="60">
        <f t="shared" si="4"/>
        <v>0</v>
      </c>
      <c r="K8" s="60">
        <f t="shared" si="5"/>
        <v>0</v>
      </c>
      <c r="L8" s="60">
        <f t="shared" si="6"/>
        <v>0</v>
      </c>
      <c r="M8" s="60">
        <f t="shared" si="7"/>
        <v>0</v>
      </c>
      <c r="N8" s="60">
        <f t="shared" si="8"/>
        <v>0</v>
      </c>
      <c r="O8" s="64">
        <f t="shared" si="9"/>
        <v>0</v>
      </c>
      <c r="P8" s="80"/>
      <c r="Q8" s="61"/>
      <c r="R8" s="59"/>
      <c r="S8" s="59"/>
    </row>
    <row r="9" spans="1:20" ht="14.4" customHeight="1" thickTop="1" thickBot="1" x14ac:dyDescent="0.35">
      <c r="A9" s="179"/>
      <c r="B9" s="75"/>
      <c r="C9" s="76"/>
      <c r="D9" s="76"/>
      <c r="E9" s="60">
        <f t="shared" si="10"/>
        <v>0</v>
      </c>
      <c r="F9" s="60">
        <f t="shared" si="0"/>
        <v>0</v>
      </c>
      <c r="G9" s="60">
        <f t="shared" si="1"/>
        <v>0</v>
      </c>
      <c r="H9" s="60">
        <f t="shared" si="2"/>
        <v>0</v>
      </c>
      <c r="I9" s="60">
        <f t="shared" si="3"/>
        <v>0</v>
      </c>
      <c r="J9" s="60">
        <f t="shared" si="4"/>
        <v>0</v>
      </c>
      <c r="K9" s="60">
        <f t="shared" si="5"/>
        <v>0</v>
      </c>
      <c r="L9" s="60">
        <f t="shared" si="6"/>
        <v>0</v>
      </c>
      <c r="M9" s="60">
        <f t="shared" si="7"/>
        <v>0</v>
      </c>
      <c r="N9" s="60">
        <f t="shared" si="8"/>
        <v>0</v>
      </c>
      <c r="O9" s="64">
        <f t="shared" si="9"/>
        <v>0</v>
      </c>
      <c r="P9" s="80"/>
      <c r="Q9" s="61"/>
      <c r="R9" s="59"/>
      <c r="S9" s="59"/>
    </row>
    <row r="10" spans="1:20" ht="14.4" customHeight="1" thickTop="1" thickBot="1" x14ac:dyDescent="0.35">
      <c r="A10" s="179"/>
      <c r="B10" s="75"/>
      <c r="C10" s="76"/>
      <c r="D10" s="76"/>
      <c r="E10" s="60">
        <f t="shared" si="10"/>
        <v>0</v>
      </c>
      <c r="F10" s="60">
        <f t="shared" si="0"/>
        <v>0</v>
      </c>
      <c r="G10" s="60">
        <f t="shared" si="1"/>
        <v>0</v>
      </c>
      <c r="H10" s="60">
        <f t="shared" si="2"/>
        <v>0</v>
      </c>
      <c r="I10" s="60">
        <f t="shared" si="3"/>
        <v>0</v>
      </c>
      <c r="J10" s="60">
        <f t="shared" si="4"/>
        <v>0</v>
      </c>
      <c r="K10" s="60">
        <f t="shared" si="5"/>
        <v>0</v>
      </c>
      <c r="L10" s="60">
        <f t="shared" si="6"/>
        <v>0</v>
      </c>
      <c r="M10" s="60">
        <f t="shared" si="7"/>
        <v>0</v>
      </c>
      <c r="N10" s="60">
        <f t="shared" si="8"/>
        <v>0</v>
      </c>
      <c r="O10" s="64">
        <f t="shared" si="9"/>
        <v>0</v>
      </c>
      <c r="P10" s="80"/>
      <c r="Q10" s="61"/>
      <c r="R10" s="59"/>
      <c r="S10" s="59"/>
    </row>
    <row r="11" spans="1:20" ht="14.4" customHeight="1" thickTop="1" thickBot="1" x14ac:dyDescent="0.35">
      <c r="A11" s="179"/>
      <c r="B11" s="75"/>
      <c r="C11" s="76"/>
      <c r="D11" s="76"/>
      <c r="E11" s="60">
        <f t="shared" si="10"/>
        <v>0</v>
      </c>
      <c r="F11" s="60">
        <f t="shared" si="0"/>
        <v>0</v>
      </c>
      <c r="G11" s="60">
        <f t="shared" si="1"/>
        <v>0</v>
      </c>
      <c r="H11" s="60">
        <f t="shared" si="2"/>
        <v>0</v>
      </c>
      <c r="I11" s="60">
        <f t="shared" si="3"/>
        <v>0</v>
      </c>
      <c r="J11" s="60">
        <f t="shared" si="4"/>
        <v>0</v>
      </c>
      <c r="K11" s="60">
        <f t="shared" si="5"/>
        <v>0</v>
      </c>
      <c r="L11" s="60">
        <f t="shared" si="6"/>
        <v>0</v>
      </c>
      <c r="M11" s="60">
        <f t="shared" si="7"/>
        <v>0</v>
      </c>
      <c r="N11" s="60">
        <f t="shared" si="8"/>
        <v>0</v>
      </c>
      <c r="O11" s="64">
        <f t="shared" si="9"/>
        <v>0</v>
      </c>
      <c r="P11" s="80"/>
      <c r="Q11" s="61"/>
      <c r="R11" s="59"/>
      <c r="S11" s="59"/>
    </row>
    <row r="12" spans="1:20" ht="14.4" customHeight="1" thickTop="1" thickBot="1" x14ac:dyDescent="0.35">
      <c r="A12" s="179"/>
      <c r="B12" s="75"/>
      <c r="C12" s="76"/>
      <c r="D12" s="76"/>
      <c r="E12" s="60">
        <f t="shared" si="10"/>
        <v>0</v>
      </c>
      <c r="F12" s="60">
        <f t="shared" si="0"/>
        <v>0</v>
      </c>
      <c r="G12" s="60">
        <f t="shared" si="1"/>
        <v>0</v>
      </c>
      <c r="H12" s="60">
        <f t="shared" si="2"/>
        <v>0</v>
      </c>
      <c r="I12" s="60">
        <f t="shared" si="3"/>
        <v>0</v>
      </c>
      <c r="J12" s="60">
        <f>IFERROR(IF(D12&gt;=0,D12*VLOOKUP(C12,CO2_Aufschlag,10,FALSE)/100,0),0)</f>
        <v>0</v>
      </c>
      <c r="K12" s="60">
        <f t="shared" si="5"/>
        <v>0</v>
      </c>
      <c r="L12" s="60">
        <f t="shared" si="6"/>
        <v>0</v>
      </c>
      <c r="M12" s="60">
        <f t="shared" si="7"/>
        <v>0</v>
      </c>
      <c r="N12" s="60">
        <f t="shared" si="8"/>
        <v>0</v>
      </c>
      <c r="O12" s="64">
        <f t="shared" si="9"/>
        <v>0</v>
      </c>
      <c r="P12" s="80"/>
      <c r="Q12" s="61"/>
      <c r="R12" s="59"/>
      <c r="S12" s="59"/>
    </row>
    <row r="13" spans="1:20" ht="14.4" customHeight="1" thickTop="1" thickBot="1" x14ac:dyDescent="0.35">
      <c r="A13" s="179"/>
      <c r="B13" s="75"/>
      <c r="C13" s="76"/>
      <c r="D13" s="76"/>
      <c r="E13" s="60">
        <f t="shared" si="10"/>
        <v>0</v>
      </c>
      <c r="F13" s="60">
        <f t="shared" si="0"/>
        <v>0</v>
      </c>
      <c r="G13" s="60">
        <f t="shared" si="1"/>
        <v>0</v>
      </c>
      <c r="H13" s="60">
        <f t="shared" si="2"/>
        <v>0</v>
      </c>
      <c r="I13" s="60">
        <f t="shared" si="3"/>
        <v>0</v>
      </c>
      <c r="J13" s="60">
        <f t="shared" si="4"/>
        <v>0</v>
      </c>
      <c r="K13" s="60">
        <f t="shared" si="5"/>
        <v>0</v>
      </c>
      <c r="L13" s="60">
        <f t="shared" si="6"/>
        <v>0</v>
      </c>
      <c r="M13" s="60">
        <f t="shared" si="7"/>
        <v>0</v>
      </c>
      <c r="N13" s="60">
        <f t="shared" si="8"/>
        <v>0</v>
      </c>
      <c r="O13" s="64">
        <f t="shared" si="9"/>
        <v>0</v>
      </c>
      <c r="P13" s="80"/>
      <c r="Q13" s="61"/>
      <c r="R13" s="59"/>
      <c r="S13" s="59"/>
    </row>
    <row r="14" spans="1:20" ht="14.4" customHeight="1" thickTop="1" thickBot="1" x14ac:dyDescent="0.35">
      <c r="A14" s="179"/>
      <c r="B14" s="75"/>
      <c r="C14" s="76"/>
      <c r="D14" s="76"/>
      <c r="E14" s="60">
        <f t="shared" si="10"/>
        <v>0</v>
      </c>
      <c r="F14" s="60">
        <f t="shared" si="0"/>
        <v>0</v>
      </c>
      <c r="G14" s="60">
        <f t="shared" si="1"/>
        <v>0</v>
      </c>
      <c r="H14" s="60">
        <f t="shared" si="2"/>
        <v>0</v>
      </c>
      <c r="I14" s="60">
        <f t="shared" si="3"/>
        <v>0</v>
      </c>
      <c r="J14" s="60">
        <f t="shared" si="4"/>
        <v>0</v>
      </c>
      <c r="K14" s="60">
        <f t="shared" si="5"/>
        <v>0</v>
      </c>
      <c r="L14" s="60">
        <f t="shared" si="6"/>
        <v>0</v>
      </c>
      <c r="M14" s="60">
        <f t="shared" si="7"/>
        <v>0</v>
      </c>
      <c r="N14" s="60">
        <f t="shared" si="8"/>
        <v>0</v>
      </c>
      <c r="O14" s="64">
        <f t="shared" si="9"/>
        <v>0</v>
      </c>
      <c r="P14" s="80"/>
      <c r="Q14" s="61"/>
      <c r="R14" s="59"/>
      <c r="S14" s="59"/>
    </row>
    <row r="15" spans="1:20" ht="14.4" customHeight="1" thickTop="1" thickBot="1" x14ac:dyDescent="0.35">
      <c r="A15" s="179"/>
      <c r="B15" s="77"/>
      <c r="C15" s="76"/>
      <c r="D15" s="76"/>
      <c r="E15" s="60">
        <f t="shared" si="10"/>
        <v>0</v>
      </c>
      <c r="F15" s="60">
        <f t="shared" si="0"/>
        <v>0</v>
      </c>
      <c r="G15" s="60">
        <f t="shared" si="1"/>
        <v>0</v>
      </c>
      <c r="H15" s="60">
        <f t="shared" si="2"/>
        <v>0</v>
      </c>
      <c r="I15" s="60">
        <f t="shared" si="3"/>
        <v>0</v>
      </c>
      <c r="J15" s="60">
        <f t="shared" si="4"/>
        <v>0</v>
      </c>
      <c r="K15" s="60">
        <f t="shared" si="5"/>
        <v>0</v>
      </c>
      <c r="L15" s="60">
        <f t="shared" si="6"/>
        <v>0</v>
      </c>
      <c r="M15" s="60">
        <f t="shared" si="7"/>
        <v>0</v>
      </c>
      <c r="N15" s="60">
        <f t="shared" si="8"/>
        <v>0</v>
      </c>
      <c r="O15" s="64">
        <f t="shared" si="9"/>
        <v>0</v>
      </c>
      <c r="P15" s="81"/>
      <c r="Q15" s="61"/>
      <c r="R15" s="59"/>
      <c r="S15" s="59"/>
    </row>
    <row r="16" spans="1:20" ht="14.4" customHeight="1" thickTop="1" thickBot="1" x14ac:dyDescent="0.35">
      <c r="A16" s="180"/>
      <c r="B16" s="182" t="s">
        <v>198</v>
      </c>
      <c r="C16" s="183"/>
      <c r="D16" s="184"/>
      <c r="E16" s="62">
        <f>SUM(E6:E15)</f>
        <v>4981.6401468788263</v>
      </c>
      <c r="F16" s="62">
        <f t="shared" ref="F16:N16" si="11">SUM(F6:F15)</f>
        <v>5887.3929008567939</v>
      </c>
      <c r="G16" s="62">
        <f t="shared" si="11"/>
        <v>5887.3929008567939</v>
      </c>
      <c r="H16" s="62">
        <f t="shared" si="11"/>
        <v>5887.3929008567939</v>
      </c>
      <c r="I16" s="62">
        <f t="shared" si="11"/>
        <v>5887.3929008567939</v>
      </c>
      <c r="J16" s="62">
        <f t="shared" si="11"/>
        <v>5887.3929008567939</v>
      </c>
      <c r="K16" s="62">
        <f t="shared" si="11"/>
        <v>5887.3929008567939</v>
      </c>
      <c r="L16" s="62">
        <f t="shared" si="11"/>
        <v>5887.3929008567939</v>
      </c>
      <c r="M16" s="62">
        <f t="shared" si="11"/>
        <v>5887.3929008567939</v>
      </c>
      <c r="N16" s="62">
        <f t="shared" si="11"/>
        <v>5887.3929008567939</v>
      </c>
      <c r="O16" s="65">
        <f>SUM(O6:O15)</f>
        <v>57968.176254589969</v>
      </c>
      <c r="P16" s="82"/>
      <c r="Q16" s="61"/>
      <c r="R16" s="59"/>
      <c r="S16" s="59"/>
    </row>
    <row r="17" spans="1:20" ht="14.4" customHeight="1" thickTop="1" thickBot="1" x14ac:dyDescent="0.35">
      <c r="A17" s="181"/>
      <c r="B17" s="68" t="s">
        <v>199</v>
      </c>
      <c r="C17" s="69" t="s">
        <v>191</v>
      </c>
      <c r="D17" s="78">
        <v>0.19</v>
      </c>
      <c r="E17" s="62">
        <f>E16*(1+$D$17)</f>
        <v>5928.1517747858034</v>
      </c>
      <c r="F17" s="62">
        <f t="shared" ref="F17:I17" si="12">F16*(1+$D$17)</f>
        <v>7005.997552019584</v>
      </c>
      <c r="G17" s="62">
        <f t="shared" si="12"/>
        <v>7005.997552019584</v>
      </c>
      <c r="H17" s="62">
        <f t="shared" si="12"/>
        <v>7005.997552019584</v>
      </c>
      <c r="I17" s="62">
        <f t="shared" si="12"/>
        <v>7005.997552019584</v>
      </c>
      <c r="J17" s="62">
        <f>J16*(1+$D$17)</f>
        <v>7005.997552019584</v>
      </c>
      <c r="K17" s="62">
        <f t="shared" ref="K17:N17" si="13">K16*(1+$D$17)</f>
        <v>7005.997552019584</v>
      </c>
      <c r="L17" s="62">
        <f t="shared" si="13"/>
        <v>7005.997552019584</v>
      </c>
      <c r="M17" s="62">
        <f t="shared" si="13"/>
        <v>7005.997552019584</v>
      </c>
      <c r="N17" s="62">
        <f t="shared" si="13"/>
        <v>7005.997552019584</v>
      </c>
      <c r="O17" s="65">
        <f>O16*(1+$D$17)</f>
        <v>68982.129742962061</v>
      </c>
      <c r="P17" s="83"/>
      <c r="Q17" s="61"/>
      <c r="R17" s="59"/>
      <c r="S17" s="59"/>
    </row>
    <row r="18" spans="1:20" ht="14.4" customHeight="1" thickTop="1" x14ac:dyDescent="0.3">
      <c r="K18" s="63"/>
      <c r="L18" s="63"/>
      <c r="M18" s="63"/>
      <c r="N18" s="63"/>
      <c r="O18" s="63"/>
      <c r="T18" s="59"/>
    </row>
    <row r="19" spans="1:20" ht="14.4" customHeight="1" thickBot="1" x14ac:dyDescent="0.35">
      <c r="T19" s="59"/>
    </row>
    <row r="20" spans="1:20" ht="14.4" customHeight="1" thickTop="1" thickBot="1" x14ac:dyDescent="0.35">
      <c r="A20" s="185" t="s">
        <v>176</v>
      </c>
      <c r="B20" s="186"/>
      <c r="C20" s="186"/>
      <c r="D20" s="186"/>
      <c r="E20" s="186"/>
      <c r="F20" s="186"/>
      <c r="G20" s="186"/>
      <c r="H20" s="186"/>
      <c r="I20" s="186"/>
      <c r="J20" s="187"/>
      <c r="T20" s="59"/>
    </row>
    <row r="21" spans="1:20" ht="14.4" customHeight="1" thickBot="1" x14ac:dyDescent="0.35">
      <c r="A21" s="188"/>
      <c r="B21" s="189"/>
      <c r="C21" s="189"/>
      <c r="D21" s="189"/>
      <c r="E21" s="189"/>
      <c r="F21" s="189"/>
      <c r="G21" s="189"/>
      <c r="H21" s="189"/>
      <c r="I21" s="189"/>
      <c r="J21" s="190"/>
      <c r="T21" s="59"/>
    </row>
    <row r="22" spans="1:20" ht="14.4" customHeight="1" thickBot="1" x14ac:dyDescent="0.35">
      <c r="A22" s="188"/>
      <c r="B22" s="189"/>
      <c r="C22" s="189"/>
      <c r="D22" s="189"/>
      <c r="E22" s="189"/>
      <c r="F22" s="189"/>
      <c r="G22" s="189"/>
      <c r="H22" s="189"/>
      <c r="I22" s="189"/>
      <c r="J22" s="190"/>
      <c r="T22" s="59"/>
    </row>
    <row r="23" spans="1:20" ht="14.4" customHeight="1" thickBot="1" x14ac:dyDescent="0.35">
      <c r="A23" s="188" t="s">
        <v>178</v>
      </c>
      <c r="B23" s="189"/>
      <c r="C23" s="66" t="s">
        <v>177</v>
      </c>
      <c r="D23" s="66" t="s">
        <v>180</v>
      </c>
      <c r="E23" s="189" t="s">
        <v>186</v>
      </c>
      <c r="F23" s="191" t="s">
        <v>182</v>
      </c>
      <c r="G23" s="191"/>
      <c r="H23" s="191"/>
      <c r="I23" s="192" t="s">
        <v>184</v>
      </c>
      <c r="J23" s="193"/>
      <c r="T23" s="59"/>
    </row>
    <row r="24" spans="1:20" ht="14.4" customHeight="1" thickBot="1" x14ac:dyDescent="0.35">
      <c r="A24" s="188"/>
      <c r="B24" s="189"/>
      <c r="C24" s="67" t="s">
        <v>179</v>
      </c>
      <c r="D24" s="67" t="s">
        <v>181</v>
      </c>
      <c r="E24" s="189"/>
      <c r="F24" s="194" t="s">
        <v>183</v>
      </c>
      <c r="G24" s="194"/>
      <c r="H24" s="194"/>
      <c r="I24" s="192"/>
      <c r="J24" s="193"/>
    </row>
    <row r="25" spans="1:20" ht="14.4" thickBot="1" x14ac:dyDescent="0.35">
      <c r="A25" s="175"/>
      <c r="B25" s="176"/>
      <c r="C25" s="84"/>
      <c r="D25" s="85"/>
      <c r="E25" s="85"/>
      <c r="F25" s="168">
        <f>D25*C25/100</f>
        <v>0</v>
      </c>
      <c r="G25" s="168"/>
      <c r="H25" s="168"/>
      <c r="I25" s="177"/>
      <c r="J25" s="178"/>
    </row>
    <row r="26" spans="1:20" ht="14.4" customHeight="1" thickBot="1" x14ac:dyDescent="0.35">
      <c r="A26" s="175"/>
      <c r="B26" s="176"/>
      <c r="C26" s="84"/>
      <c r="D26" s="85"/>
      <c r="E26" s="85"/>
      <c r="F26" s="168">
        <f t="shared" ref="F26:F39" si="14">D26*C26/100</f>
        <v>0</v>
      </c>
      <c r="G26" s="168"/>
      <c r="H26" s="168"/>
      <c r="I26" s="177"/>
      <c r="J26" s="178"/>
    </row>
    <row r="27" spans="1:20" ht="14.4" customHeight="1" thickBot="1" x14ac:dyDescent="0.35">
      <c r="A27" s="175"/>
      <c r="B27" s="176"/>
      <c r="C27" s="84"/>
      <c r="D27" s="85"/>
      <c r="E27" s="85"/>
      <c r="F27" s="168">
        <f t="shared" si="14"/>
        <v>0</v>
      </c>
      <c r="G27" s="168"/>
      <c r="H27" s="168"/>
      <c r="I27" s="177"/>
      <c r="J27" s="178"/>
    </row>
    <row r="28" spans="1:20" ht="14.4" customHeight="1" thickBot="1" x14ac:dyDescent="0.35">
      <c r="A28" s="175"/>
      <c r="B28" s="176"/>
      <c r="C28" s="84"/>
      <c r="D28" s="85"/>
      <c r="E28" s="85"/>
      <c r="F28" s="168">
        <f t="shared" si="14"/>
        <v>0</v>
      </c>
      <c r="G28" s="168"/>
      <c r="H28" s="168"/>
      <c r="I28" s="177"/>
      <c r="J28" s="178"/>
    </row>
    <row r="29" spans="1:20" ht="14.4" customHeight="1" thickBot="1" x14ac:dyDescent="0.35">
      <c r="A29" s="175"/>
      <c r="B29" s="176"/>
      <c r="C29" s="84"/>
      <c r="D29" s="85"/>
      <c r="E29" s="85"/>
      <c r="F29" s="168">
        <f t="shared" si="14"/>
        <v>0</v>
      </c>
      <c r="G29" s="168"/>
      <c r="H29" s="168"/>
      <c r="I29" s="177"/>
      <c r="J29" s="178"/>
    </row>
    <row r="30" spans="1:20" ht="14.4" customHeight="1" thickBot="1" x14ac:dyDescent="0.35">
      <c r="A30" s="175"/>
      <c r="B30" s="176"/>
      <c r="C30" s="84"/>
      <c r="D30" s="85"/>
      <c r="E30" s="85"/>
      <c r="F30" s="168">
        <f t="shared" si="14"/>
        <v>0</v>
      </c>
      <c r="G30" s="168"/>
      <c r="H30" s="168"/>
      <c r="I30" s="177"/>
      <c r="J30" s="178"/>
    </row>
    <row r="31" spans="1:20" ht="14.4" customHeight="1" thickBot="1" x14ac:dyDescent="0.35">
      <c r="A31" s="175"/>
      <c r="B31" s="176"/>
      <c r="C31" s="84"/>
      <c r="D31" s="85"/>
      <c r="E31" s="85"/>
      <c r="F31" s="168">
        <f t="shared" si="14"/>
        <v>0</v>
      </c>
      <c r="G31" s="168"/>
      <c r="H31" s="168"/>
      <c r="I31" s="177"/>
      <c r="J31" s="178"/>
    </row>
    <row r="32" spans="1:20" ht="14.4" customHeight="1" thickBot="1" x14ac:dyDescent="0.35">
      <c r="A32" s="175"/>
      <c r="B32" s="176"/>
      <c r="C32" s="84"/>
      <c r="D32" s="85"/>
      <c r="E32" s="85"/>
      <c r="F32" s="168">
        <f t="shared" si="14"/>
        <v>0</v>
      </c>
      <c r="G32" s="168"/>
      <c r="H32" s="168"/>
      <c r="I32" s="177"/>
      <c r="J32" s="178"/>
    </row>
    <row r="33" spans="1:10" ht="14.4" customHeight="1" thickBot="1" x14ac:dyDescent="0.35">
      <c r="A33" s="175"/>
      <c r="B33" s="176"/>
      <c r="C33" s="84"/>
      <c r="D33" s="85"/>
      <c r="E33" s="85"/>
      <c r="F33" s="168">
        <f t="shared" si="14"/>
        <v>0</v>
      </c>
      <c r="G33" s="168"/>
      <c r="H33" s="168"/>
      <c r="I33" s="177"/>
      <c r="J33" s="178"/>
    </row>
    <row r="34" spans="1:10" ht="14.4" customHeight="1" thickBot="1" x14ac:dyDescent="0.35">
      <c r="A34" s="175"/>
      <c r="B34" s="176"/>
      <c r="C34" s="84"/>
      <c r="D34" s="85"/>
      <c r="E34" s="85"/>
      <c r="F34" s="168">
        <f t="shared" si="14"/>
        <v>0</v>
      </c>
      <c r="G34" s="168"/>
      <c r="H34" s="168"/>
      <c r="I34" s="177"/>
      <c r="J34" s="178"/>
    </row>
    <row r="35" spans="1:10" ht="14.4" customHeight="1" thickBot="1" x14ac:dyDescent="0.35">
      <c r="A35" s="175"/>
      <c r="B35" s="176"/>
      <c r="C35" s="84"/>
      <c r="D35" s="85"/>
      <c r="E35" s="85"/>
      <c r="F35" s="168">
        <f t="shared" si="14"/>
        <v>0</v>
      </c>
      <c r="G35" s="168"/>
      <c r="H35" s="168"/>
      <c r="I35" s="177"/>
      <c r="J35" s="178"/>
    </row>
    <row r="36" spans="1:10" ht="14.4" customHeight="1" thickBot="1" x14ac:dyDescent="0.35">
      <c r="A36" s="175"/>
      <c r="B36" s="176"/>
      <c r="C36" s="84"/>
      <c r="D36" s="85"/>
      <c r="E36" s="85"/>
      <c r="F36" s="168">
        <f t="shared" si="14"/>
        <v>0</v>
      </c>
      <c r="G36" s="168"/>
      <c r="H36" s="168"/>
      <c r="I36" s="177"/>
      <c r="J36" s="178"/>
    </row>
    <row r="37" spans="1:10" ht="14.4" customHeight="1" thickBot="1" x14ac:dyDescent="0.35">
      <c r="A37" s="175"/>
      <c r="B37" s="176"/>
      <c r="C37" s="84"/>
      <c r="D37" s="85"/>
      <c r="E37" s="85"/>
      <c r="F37" s="168">
        <f t="shared" si="14"/>
        <v>0</v>
      </c>
      <c r="G37" s="168"/>
      <c r="H37" s="168"/>
      <c r="I37" s="177"/>
      <c r="J37" s="178"/>
    </row>
    <row r="38" spans="1:10" ht="14.4" customHeight="1" thickBot="1" x14ac:dyDescent="0.35">
      <c r="A38" s="175"/>
      <c r="B38" s="176"/>
      <c r="C38" s="84"/>
      <c r="D38" s="85"/>
      <c r="E38" s="85"/>
      <c r="F38" s="168">
        <f t="shared" si="14"/>
        <v>0</v>
      </c>
      <c r="G38" s="168"/>
      <c r="H38" s="168"/>
      <c r="I38" s="177"/>
      <c r="J38" s="178"/>
    </row>
    <row r="39" spans="1:10" ht="14.4" customHeight="1" thickBot="1" x14ac:dyDescent="0.35">
      <c r="A39" s="166"/>
      <c r="B39" s="167"/>
      <c r="C39" s="86"/>
      <c r="D39" s="87"/>
      <c r="E39" s="87"/>
      <c r="F39" s="168">
        <f t="shared" si="14"/>
        <v>0</v>
      </c>
      <c r="G39" s="168"/>
      <c r="H39" s="168"/>
      <c r="I39" s="169"/>
      <c r="J39" s="170"/>
    </row>
    <row r="40" spans="1:10" ht="14.4" customHeight="1" thickTop="1" thickBot="1" x14ac:dyDescent="0.35">
      <c r="A40" s="171" t="s">
        <v>188</v>
      </c>
      <c r="B40" s="172"/>
      <c r="C40" s="172"/>
      <c r="D40" s="172"/>
      <c r="E40" s="172"/>
      <c r="F40" s="159">
        <f>SUMIF(E25:E39,Preisauswirkungen!A12,F25:H39)</f>
        <v>0</v>
      </c>
      <c r="G40" s="159"/>
      <c r="H40" s="159"/>
      <c r="I40" s="173"/>
      <c r="J40" s="174"/>
    </row>
    <row r="41" spans="1:10" ht="14.4" customHeight="1" thickTop="1" thickBot="1" x14ac:dyDescent="0.35">
      <c r="A41" s="157" t="s">
        <v>189</v>
      </c>
      <c r="B41" s="158"/>
      <c r="C41" s="158"/>
      <c r="D41" s="158"/>
      <c r="E41" s="158"/>
      <c r="F41" s="159">
        <f>SUMIF(E25:E39,Preisauswirkungen!A13,F25:H39)</f>
        <v>0</v>
      </c>
      <c r="G41" s="159"/>
      <c r="H41" s="159"/>
      <c r="I41" s="160"/>
      <c r="J41" s="161"/>
    </row>
    <row r="42" spans="1:10" ht="14.4" customHeight="1" thickTop="1" thickBot="1" x14ac:dyDescent="0.35">
      <c r="A42" s="162" t="s">
        <v>190</v>
      </c>
      <c r="B42" s="163"/>
      <c r="C42" s="163"/>
      <c r="D42" s="163"/>
      <c r="E42" s="163"/>
      <c r="F42" s="159">
        <f>SUMIF(E25:E39,Preisauswirkungen!A14,F25:H39)</f>
        <v>0</v>
      </c>
      <c r="G42" s="159"/>
      <c r="H42" s="159"/>
      <c r="I42" s="164"/>
      <c r="J42" s="165"/>
    </row>
    <row r="43" spans="1:10" ht="165.6" customHeight="1" thickTop="1" x14ac:dyDescent="0.3"/>
  </sheetData>
  <dataConsolidate/>
  <mergeCells count="71">
    <mergeCell ref="A1:Q1"/>
    <mergeCell ref="A2:A5"/>
    <mergeCell ref="B2:D2"/>
    <mergeCell ref="E2:Q2"/>
    <mergeCell ref="B3:B5"/>
    <mergeCell ref="C3:C5"/>
    <mergeCell ref="D3:D5"/>
    <mergeCell ref="O3:O5"/>
    <mergeCell ref="P3:P5"/>
    <mergeCell ref="A6:A17"/>
    <mergeCell ref="B16:D16"/>
    <mergeCell ref="A20:J22"/>
    <mergeCell ref="A23:B24"/>
    <mergeCell ref="E23:E24"/>
    <mergeCell ref="F23:H23"/>
    <mergeCell ref="I23:J24"/>
    <mergeCell ref="F24:H24"/>
    <mergeCell ref="A25:B25"/>
    <mergeCell ref="F25:H25"/>
    <mergeCell ref="I25:J25"/>
    <mergeCell ref="A26:B26"/>
    <mergeCell ref="F26:H26"/>
    <mergeCell ref="I26:J26"/>
    <mergeCell ref="A27:B27"/>
    <mergeCell ref="F27:H27"/>
    <mergeCell ref="I27:J27"/>
    <mergeCell ref="A28:B28"/>
    <mergeCell ref="F28:H28"/>
    <mergeCell ref="I28:J28"/>
    <mergeCell ref="A29:B29"/>
    <mergeCell ref="F29:H29"/>
    <mergeCell ref="I29:J29"/>
    <mergeCell ref="A30:B30"/>
    <mergeCell ref="F30:H30"/>
    <mergeCell ref="I30:J30"/>
    <mergeCell ref="A31:B31"/>
    <mergeCell ref="F31:H31"/>
    <mergeCell ref="I31:J31"/>
    <mergeCell ref="A32:B32"/>
    <mergeCell ref="F32:H32"/>
    <mergeCell ref="I32:J32"/>
    <mergeCell ref="A33:B33"/>
    <mergeCell ref="F33:H33"/>
    <mergeCell ref="I33:J33"/>
    <mergeCell ref="A34:B34"/>
    <mergeCell ref="F34:H34"/>
    <mergeCell ref="I34:J34"/>
    <mergeCell ref="A35:B35"/>
    <mergeCell ref="F35:H35"/>
    <mergeCell ref="I35:J35"/>
    <mergeCell ref="A36:B36"/>
    <mergeCell ref="F36:H36"/>
    <mergeCell ref="I36:J36"/>
    <mergeCell ref="A37:B37"/>
    <mergeCell ref="F37:H37"/>
    <mergeCell ref="I37:J37"/>
    <mergeCell ref="A38:B38"/>
    <mergeCell ref="F38:H38"/>
    <mergeCell ref="I38:J38"/>
    <mergeCell ref="A39:B39"/>
    <mergeCell ref="F39:H39"/>
    <mergeCell ref="I39:J39"/>
    <mergeCell ref="A40:E40"/>
    <mergeCell ref="F40:H40"/>
    <mergeCell ref="I40:J40"/>
    <mergeCell ref="A41:E41"/>
    <mergeCell ref="F41:H41"/>
    <mergeCell ref="I41:J41"/>
    <mergeCell ref="A42:E42"/>
    <mergeCell ref="F42:H42"/>
    <mergeCell ref="I42:J42"/>
  </mergeCells>
  <pageMargins left="0.7" right="0.7" top="0.78740157499999996" bottom="0.78740157499999996" header="0.3" footer="0.3"/>
  <pageSetup paperSize="9" scale="4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28A08E5-9B95-4D56-B797-2FE358848E38}">
          <x14:formula1>
            <xm:f>Preisauswirkungen!$A$12:$A$14</xm:f>
          </x14:formula1>
          <xm:sqref>E25:E39</xm:sqref>
        </x14:dataValidation>
        <x14:dataValidation type="list" allowBlank="1" showInputMessage="1" showErrorMessage="1" xr:uid="{8B1A828B-1E28-4C3B-B842-F7C742BCFC80}">
          <x14:formula1>
            <xm:f>Preisauswirkungen!$A$5:$A$14</xm:f>
          </x14:formula1>
          <xm:sqref>C6:C15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2DBB1-ECC2-4812-85D0-1535A560780C}">
  <dimension ref="A1:N18"/>
  <sheetViews>
    <sheetView zoomScale="60" zoomScaleNormal="60" workbookViewId="0">
      <selection activeCell="E4" sqref="E4"/>
    </sheetView>
  </sheetViews>
  <sheetFormatPr baseColWidth="10" defaultColWidth="11.5546875" defaultRowHeight="25.8" x14ac:dyDescent="0.5"/>
  <cols>
    <col min="1" max="1" width="24.6640625" style="38" bestFit="1" customWidth="1"/>
    <col min="2" max="2" width="10.88671875" style="38" bestFit="1" customWidth="1"/>
    <col min="3" max="3" width="8.33203125" style="38" bestFit="1" customWidth="1"/>
    <col min="4" max="4" width="12.88671875" style="39" bestFit="1" customWidth="1"/>
    <col min="5" max="5" width="30.33203125" style="38" bestFit="1" customWidth="1"/>
    <col min="6" max="6" width="23.33203125" style="38" bestFit="1" customWidth="1"/>
    <col min="7" max="7" width="25.33203125" style="38" bestFit="1" customWidth="1"/>
    <col min="8" max="14" width="23.33203125" style="38" bestFit="1" customWidth="1"/>
    <col min="15" max="16384" width="11.5546875" style="38"/>
  </cols>
  <sheetData>
    <row r="1" spans="1:14" x14ac:dyDescent="0.5">
      <c r="E1" s="38">
        <v>6</v>
      </c>
    </row>
    <row r="2" spans="1:14" ht="30" customHeight="1" x14ac:dyDescent="0.5">
      <c r="A2" s="205" t="s">
        <v>187</v>
      </c>
      <c r="B2" s="206"/>
      <c r="C2" s="206"/>
      <c r="D2" s="206"/>
      <c r="E2" s="207"/>
      <c r="F2" s="207"/>
      <c r="G2" s="207"/>
      <c r="H2" s="207"/>
      <c r="I2" s="207"/>
      <c r="J2" s="208"/>
    </row>
    <row r="4" spans="1:14" x14ac:dyDescent="0.5">
      <c r="A4" s="40" t="s">
        <v>1</v>
      </c>
      <c r="B4" s="209" t="s">
        <v>80</v>
      </c>
      <c r="C4" s="210"/>
      <c r="D4" s="40" t="s">
        <v>63</v>
      </c>
      <c r="E4" s="41" t="str">
        <f>CO2_Bepreisungsrechner!E$3&amp;" "&amp;"/"&amp;" "&amp;CO2_Bepreisungsrechner!E$4&amp;CO2_Bepreisungsrechner!$E$5</f>
        <v>2025
 / 55[€/t]</v>
      </c>
      <c r="F4" s="41" t="str">
        <f>CO2_Bepreisungsrechner!F$3&amp;" "&amp;"/"&amp;" "&amp;CO2_Bepreisungsrechner!F$4&amp;CO2_Bepreisungsrechner!$E$5</f>
        <v>2026
 / 65[€/t]</v>
      </c>
      <c r="G4" s="41" t="str">
        <f>CO2_Bepreisungsrechner!G$3&amp;" "&amp;"/"&amp;" "&amp;CO2_Bepreisungsrechner!G$4&amp;CO2_Bepreisungsrechner!$E$5</f>
        <v>2027
 / 65[€/t]</v>
      </c>
      <c r="H4" s="41" t="str">
        <f>CO2_Bepreisungsrechner!H$3&amp;" "&amp;"/"&amp;" "&amp;CO2_Bepreisungsrechner!H$4&amp;CO2_Bepreisungsrechner!$E$5</f>
        <v>2028
 / 65[€/t]</v>
      </c>
      <c r="I4" s="41" t="str">
        <f>CO2_Bepreisungsrechner!I$3&amp;" "&amp;"/"&amp;" "&amp;CO2_Bepreisungsrechner!I$4&amp;CO2_Bepreisungsrechner!$E$5</f>
        <v>2029
 / 65[€/t]</v>
      </c>
      <c r="J4" s="41" t="str">
        <f>CO2_Bepreisungsrechner!J$3&amp;" "&amp;"/"&amp;" "&amp;CO2_Bepreisungsrechner!J$4&amp;CO2_Bepreisungsrechner!$E$5</f>
        <v>2030
 / 65[€/t]</v>
      </c>
      <c r="K4" s="41" t="str">
        <f>CO2_Bepreisungsrechner!K$3&amp;" "&amp;"/"&amp;" "&amp;CO2_Bepreisungsrechner!K$4&amp;CO2_Bepreisungsrechner!$E$5</f>
        <v>2031
 / 65[€/t]</v>
      </c>
      <c r="L4" s="41" t="str">
        <f>CO2_Bepreisungsrechner!L$3&amp;" "&amp;"/"&amp;" "&amp;CO2_Bepreisungsrechner!L$4&amp;CO2_Bepreisungsrechner!$E$5</f>
        <v>2032
 / 65[€/t]</v>
      </c>
      <c r="M4" s="41" t="str">
        <f>CO2_Bepreisungsrechner!M$3&amp;" "&amp;"/"&amp;" "&amp;CO2_Bepreisungsrechner!M$4&amp;CO2_Bepreisungsrechner!$E$5</f>
        <v>2033
 / 65[€/t]</v>
      </c>
      <c r="N4" s="41" t="str">
        <f>CO2_Bepreisungsrechner!N$3&amp;" "&amp;"/"&amp;" "&amp;CO2_Bepreisungsrechner!N$4&amp;CO2_Bepreisungsrechner!$E$5</f>
        <v>2034
 / 65[€/t]</v>
      </c>
    </row>
    <row r="5" spans="1:14" ht="51.6" x14ac:dyDescent="0.5">
      <c r="A5" s="42" t="s">
        <v>82</v>
      </c>
      <c r="B5" s="42">
        <f>'Heiz- und Brennwert (Bafa)'!D6</f>
        <v>10.6</v>
      </c>
      <c r="C5" s="42" t="s">
        <v>66</v>
      </c>
      <c r="D5" s="42" t="s">
        <v>72</v>
      </c>
      <c r="E5" s="43">
        <f>'Heiz- und Brennwert (Bafa)'!$D$6*'CO2-Faktoren (LAK)'!$D$27/1000*CO2_Bepreisungsrechner!E4*100</f>
        <v>15.530995752033986</v>
      </c>
      <c r="F5" s="43">
        <f>'Heiz- und Brennwert (Bafa)'!$D$6*'CO2-Faktoren (LAK)'!$D$27/1000*CO2_Bepreisungsrechner!F4*100</f>
        <v>18.354813161494711</v>
      </c>
      <c r="G5" s="43">
        <f>'Heiz- und Brennwert (Bafa)'!$D$6*'CO2-Faktoren (LAK)'!$D$27/1000*CO2_Bepreisungsrechner!G4*100</f>
        <v>18.354813161494711</v>
      </c>
      <c r="H5" s="43">
        <f>'Heiz- und Brennwert (Bafa)'!$D$6*'CO2-Faktoren (LAK)'!$D$27/1000*CO2_Bepreisungsrechner!H4*100</f>
        <v>18.354813161494711</v>
      </c>
      <c r="I5" s="43">
        <f>'Heiz- und Brennwert (Bafa)'!$D$6*'CO2-Faktoren (LAK)'!$D$27/1000*CO2_Bepreisungsrechner!I4*100</f>
        <v>18.354813161494711</v>
      </c>
      <c r="J5" s="43">
        <f>'Heiz- und Brennwert (Bafa)'!$D$6*'CO2-Faktoren (LAK)'!$D$27/1000*CO2_Bepreisungsrechner!J4*100</f>
        <v>18.354813161494711</v>
      </c>
      <c r="K5" s="43">
        <f>'Heiz- und Brennwert (Bafa)'!$D$6*'CO2-Faktoren (LAK)'!$D$27/1000*CO2_Bepreisungsrechner!K4*100</f>
        <v>18.354813161494711</v>
      </c>
      <c r="L5" s="43">
        <f>'Heiz- und Brennwert (Bafa)'!$D$6*'CO2-Faktoren (LAK)'!$D$27/1000*CO2_Bepreisungsrechner!L4*100</f>
        <v>18.354813161494711</v>
      </c>
      <c r="M5" s="43">
        <f>'Heiz- und Brennwert (Bafa)'!$D$6*'CO2-Faktoren (LAK)'!$D$27/1000*CO2_Bepreisungsrechner!M4*100</f>
        <v>18.354813161494711</v>
      </c>
      <c r="N5" s="43">
        <f>'Heiz- und Brennwert (Bafa)'!$D$6*'CO2-Faktoren (LAK)'!$D$27/1000*CO2_Bepreisungsrechner!N4*100</f>
        <v>18.354813161494711</v>
      </c>
    </row>
    <row r="6" spans="1:14" ht="51.6" x14ac:dyDescent="0.5">
      <c r="A6" s="42" t="s">
        <v>83</v>
      </c>
      <c r="B6" s="42">
        <f>'Heiz- und Brennwert (Bafa)'!D7</f>
        <v>11.3</v>
      </c>
      <c r="C6" s="42" t="s">
        <v>66</v>
      </c>
      <c r="D6" s="42" t="s">
        <v>73</v>
      </c>
      <c r="E6" s="43">
        <f>E5/'Heiz- und Brennwert (Bafa)'!$D$6</f>
        <v>1.4651882784937724</v>
      </c>
      <c r="F6" s="43">
        <f>F5/'Heiz- und Brennwert (Bafa)'!$D$6</f>
        <v>1.7315861473108218</v>
      </c>
      <c r="G6" s="43">
        <f>G5/'Heiz- und Brennwert (Bafa)'!$D$6</f>
        <v>1.7315861473108218</v>
      </c>
      <c r="H6" s="43">
        <f>H5/'Heiz- und Brennwert (Bafa)'!$D$6</f>
        <v>1.7315861473108218</v>
      </c>
      <c r="I6" s="43">
        <f>I5/'Heiz- und Brennwert (Bafa)'!$D$6</f>
        <v>1.7315861473108218</v>
      </c>
      <c r="J6" s="43">
        <f>J5/'Heiz- und Brennwert (Bafa)'!$D$6</f>
        <v>1.7315861473108218</v>
      </c>
      <c r="K6" s="43">
        <f>K5/'Heiz- und Brennwert (Bafa)'!$D$6</f>
        <v>1.7315861473108218</v>
      </c>
      <c r="L6" s="43">
        <f>L5/'Heiz- und Brennwert (Bafa)'!$D$6</f>
        <v>1.7315861473108218</v>
      </c>
      <c r="M6" s="43">
        <f>M5/'Heiz- und Brennwert (Bafa)'!$D$6</f>
        <v>1.7315861473108218</v>
      </c>
      <c r="N6" s="43">
        <f>N5/'Heiz- und Brennwert (Bafa)'!$D$6</f>
        <v>1.7315861473108218</v>
      </c>
    </row>
    <row r="7" spans="1:14" ht="77.400000000000006" x14ac:dyDescent="0.5">
      <c r="A7" s="44" t="s">
        <v>84</v>
      </c>
      <c r="B7" s="44">
        <v>1</v>
      </c>
      <c r="C7" s="44" t="s">
        <v>67</v>
      </c>
      <c r="D7" s="44" t="s">
        <v>73</v>
      </c>
      <c r="E7" s="45">
        <f>1*'CO2-Faktoren (LAK)'!$D$34/1000*CO2_Bepreisungsrechner!E4*100</f>
        <v>1.1053499110035556</v>
      </c>
      <c r="F7" s="45">
        <f>1*'CO2-Faktoren (LAK)'!$D$34/1000*CO2_Bepreisungsrechner!F4*100</f>
        <v>1.3063226220951112</v>
      </c>
      <c r="G7" s="45">
        <f>1*'CO2-Faktoren (LAK)'!$D$34/1000*CO2_Bepreisungsrechner!G4*100</f>
        <v>1.3063226220951112</v>
      </c>
      <c r="H7" s="45">
        <f>1*'CO2-Faktoren (LAK)'!$D$34/1000*CO2_Bepreisungsrechner!H4*100</f>
        <v>1.3063226220951112</v>
      </c>
      <c r="I7" s="45">
        <f>1*'CO2-Faktoren (LAK)'!$D$34/1000*CO2_Bepreisungsrechner!I4*100</f>
        <v>1.3063226220951112</v>
      </c>
      <c r="J7" s="45">
        <f>1*'CO2-Faktoren (LAK)'!$D$34/1000*CO2_Bepreisungsrechner!J4*100</f>
        <v>1.3063226220951112</v>
      </c>
      <c r="K7" s="45">
        <f>1*'CO2-Faktoren (LAK)'!$D$34/1000*CO2_Bepreisungsrechner!K4*100</f>
        <v>1.3063226220951112</v>
      </c>
      <c r="L7" s="45">
        <f>1*'CO2-Faktoren (LAK)'!$D$34/1000*CO2_Bepreisungsrechner!L4*100</f>
        <v>1.3063226220951112</v>
      </c>
      <c r="M7" s="45">
        <f>1*'CO2-Faktoren (LAK)'!$D$34/1000*CO2_Bepreisungsrechner!M4*100</f>
        <v>1.3063226220951112</v>
      </c>
      <c r="N7" s="45">
        <f>1*'CO2-Faktoren (LAK)'!$D$34/1000*CO2_Bepreisungsrechner!N4*100</f>
        <v>1.3063226220951112</v>
      </c>
    </row>
    <row r="8" spans="1:14" ht="51.6" x14ac:dyDescent="0.5">
      <c r="A8" s="44" t="s">
        <v>86</v>
      </c>
      <c r="B8" s="44">
        <f>'Heiz- und Brennwert (Bafa)'!D9</f>
        <v>10.78</v>
      </c>
      <c r="C8" s="44" t="s">
        <v>68</v>
      </c>
      <c r="D8" s="44" t="s">
        <v>74</v>
      </c>
      <c r="E8" s="45">
        <f>'Heiz- und Brennwert (Bafa)'!$D$9*'CO2-Faktoren (LAK)'!$D$34/1000*CO2_Bepreisungsrechner!E4*100</f>
        <v>11.915672040618327</v>
      </c>
      <c r="F8" s="45">
        <f>'Heiz- und Brennwert (Bafa)'!$D$9*'CO2-Faktoren (LAK)'!$D$34/1000*CO2_Bepreisungsrechner!F4*100</f>
        <v>14.082157866185296</v>
      </c>
      <c r="G8" s="45">
        <f>'Heiz- und Brennwert (Bafa)'!$D$9*'CO2-Faktoren (LAK)'!$D$34/1000*CO2_Bepreisungsrechner!G4*100</f>
        <v>14.082157866185296</v>
      </c>
      <c r="H8" s="45">
        <f>'Heiz- und Brennwert (Bafa)'!$D$9*'CO2-Faktoren (LAK)'!$D$34/1000*CO2_Bepreisungsrechner!H4*100</f>
        <v>14.082157866185296</v>
      </c>
      <c r="I8" s="45">
        <f>'Heiz- und Brennwert (Bafa)'!$D$9*'CO2-Faktoren (LAK)'!$D$34/1000*CO2_Bepreisungsrechner!I4*100</f>
        <v>14.082157866185296</v>
      </c>
      <c r="J8" s="45">
        <f>'Heiz- und Brennwert (Bafa)'!$D$9*'CO2-Faktoren (LAK)'!$D$34/1000*CO2_Bepreisungsrechner!J4*100</f>
        <v>14.082157866185296</v>
      </c>
      <c r="K8" s="45">
        <f>'Heiz- und Brennwert (Bafa)'!$D$9*'CO2-Faktoren (LAK)'!$D$34/1000*CO2_Bepreisungsrechner!K4*100</f>
        <v>14.082157866185296</v>
      </c>
      <c r="L8" s="45">
        <f>'Heiz- und Brennwert (Bafa)'!$D$9*'CO2-Faktoren (LAK)'!$D$34/1000*CO2_Bepreisungsrechner!L4*100</f>
        <v>14.082157866185296</v>
      </c>
      <c r="M8" s="45">
        <f>'Heiz- und Brennwert (Bafa)'!$D$9*'CO2-Faktoren (LAK)'!$D$34/1000*CO2_Bepreisungsrechner!M4*100</f>
        <v>14.082157866185296</v>
      </c>
      <c r="N8" s="45">
        <f>'Heiz- und Brennwert (Bafa)'!$D$9*'CO2-Faktoren (LAK)'!$D$34/1000*CO2_Bepreisungsrechner!N4*100</f>
        <v>14.082157866185296</v>
      </c>
    </row>
    <row r="9" spans="1:14" ht="51.6" x14ac:dyDescent="0.5">
      <c r="A9" s="42" t="s">
        <v>87</v>
      </c>
      <c r="B9" s="42">
        <f>'Heiz- und Brennwert (Bafa)'!D8</f>
        <v>14.06</v>
      </c>
      <c r="C9" s="42" t="s">
        <v>69</v>
      </c>
      <c r="D9" s="42" t="s">
        <v>75</v>
      </c>
      <c r="E9" s="43">
        <f>'Heiz- und Brennwert (Bafa)'!$D$8*'CO2-Faktoren (LAK)'!$D$31/1000*CO2_Bepreisungsrechner!E4*100</f>
        <v>18.466301990517795</v>
      </c>
      <c r="F9" s="43">
        <f>'Heiz- und Brennwert (Bafa)'!$D$8*'CO2-Faktoren (LAK)'!$D$31/1000*CO2_Bepreisungsrechner!F4*100</f>
        <v>21.82381144333921</v>
      </c>
      <c r="G9" s="43">
        <f>'Heiz- und Brennwert (Bafa)'!$D$8*'CO2-Faktoren (LAK)'!$D$31/1000*CO2_Bepreisungsrechner!G4*100</f>
        <v>21.82381144333921</v>
      </c>
      <c r="H9" s="43">
        <f>'Heiz- und Brennwert (Bafa)'!$D$8*'CO2-Faktoren (LAK)'!$D$31/1000*CO2_Bepreisungsrechner!H4*100</f>
        <v>21.82381144333921</v>
      </c>
      <c r="I9" s="43">
        <f>'Heiz- und Brennwert (Bafa)'!$D$8*'CO2-Faktoren (LAK)'!$D$31/1000*CO2_Bepreisungsrechner!I4*100</f>
        <v>21.82381144333921</v>
      </c>
      <c r="J9" s="43">
        <f>'Heiz- und Brennwert (Bafa)'!$D$8*'CO2-Faktoren (LAK)'!$D$31/1000*CO2_Bepreisungsrechner!J4*100</f>
        <v>21.82381144333921</v>
      </c>
      <c r="K9" s="43">
        <f>'Heiz- und Brennwert (Bafa)'!$D$8*'CO2-Faktoren (LAK)'!$D$31/1000*CO2_Bepreisungsrechner!K4*100</f>
        <v>21.82381144333921</v>
      </c>
      <c r="L9" s="43">
        <f>'Heiz- und Brennwert (Bafa)'!$D$8*'CO2-Faktoren (LAK)'!$D$31/1000*CO2_Bepreisungsrechner!L4*100</f>
        <v>21.82381144333921</v>
      </c>
      <c r="M9" s="43">
        <f>'Heiz- und Brennwert (Bafa)'!$D$8*'CO2-Faktoren (LAK)'!$D$31/1000*CO2_Bepreisungsrechner!M4*100</f>
        <v>21.82381144333921</v>
      </c>
      <c r="N9" s="43">
        <f>'Heiz- und Brennwert (Bafa)'!$D$8*'CO2-Faktoren (LAK)'!$D$31/1000*CO2_Bepreisungsrechner!N4*100</f>
        <v>21.82381144333921</v>
      </c>
    </row>
    <row r="10" spans="1:14" ht="51.6" x14ac:dyDescent="0.5">
      <c r="A10" s="42" t="s">
        <v>85</v>
      </c>
      <c r="B10" s="42"/>
      <c r="C10" s="42"/>
      <c r="D10" s="42" t="s">
        <v>73</v>
      </c>
      <c r="E10" s="43">
        <f>E9/'Heiz- und Brennwert (Bafa)'!$D$8</f>
        <v>1.313392744702546</v>
      </c>
      <c r="F10" s="43">
        <f>F9/'Heiz- und Brennwert (Bafa)'!$D$8</f>
        <v>1.552191425557554</v>
      </c>
      <c r="G10" s="43">
        <f>G9/'Heiz- und Brennwert (Bafa)'!$D$8</f>
        <v>1.552191425557554</v>
      </c>
      <c r="H10" s="43">
        <f>H9/'Heiz- und Brennwert (Bafa)'!$D$8</f>
        <v>1.552191425557554</v>
      </c>
      <c r="I10" s="43">
        <f>I9/'Heiz- und Brennwert (Bafa)'!$D$8</f>
        <v>1.552191425557554</v>
      </c>
      <c r="J10" s="43">
        <f>J9/'Heiz- und Brennwert (Bafa)'!$D$8</f>
        <v>1.552191425557554</v>
      </c>
      <c r="K10" s="43">
        <f>K9/'Heiz- und Brennwert (Bafa)'!$D$8</f>
        <v>1.552191425557554</v>
      </c>
      <c r="L10" s="43">
        <f>L9/'Heiz- und Brennwert (Bafa)'!$D$8</f>
        <v>1.552191425557554</v>
      </c>
      <c r="M10" s="43">
        <f>M9/'Heiz- und Brennwert (Bafa)'!$D$8</f>
        <v>1.552191425557554</v>
      </c>
      <c r="N10" s="43">
        <f>N9/'Heiz- und Brennwert (Bafa)'!$D$8</f>
        <v>1.552191425557554</v>
      </c>
    </row>
    <row r="11" spans="1:14" x14ac:dyDescent="0.5">
      <c r="A11" s="46" t="s">
        <v>88</v>
      </c>
      <c r="B11" s="47">
        <f>'Heiz- und Brennwert (Bafa)'!D8</f>
        <v>14.06</v>
      </c>
      <c r="C11" s="47" t="s">
        <v>81</v>
      </c>
      <c r="D11" s="46" t="s">
        <v>72</v>
      </c>
      <c r="E11" s="43">
        <f>'Heiz- und Brennwert (Bafa)'!$D$8*Preisauswirkungen!$E$18*'CO2-Faktoren (LAK)'!$D$31/1000*CO2_Bepreisungsrechner!E4*100</f>
        <v>9.4178140151640743</v>
      </c>
      <c r="F11" s="43">
        <f>'Heiz- und Brennwert (Bafa)'!$D$8*Preisauswirkungen!$E$18*'CO2-Faktoren (LAK)'!$D$31/1000*CO2_Bepreisungsrechner!F4*100</f>
        <v>11.130143836102999</v>
      </c>
      <c r="G11" s="43">
        <f>'Heiz- und Brennwert (Bafa)'!$D$8*Preisauswirkungen!$E$18*'CO2-Faktoren (LAK)'!$D$31/1000*CO2_Bepreisungsrechner!G4*100</f>
        <v>11.130143836102999</v>
      </c>
      <c r="H11" s="43">
        <f>'Heiz- und Brennwert (Bafa)'!$D$8*Preisauswirkungen!$E$18*'CO2-Faktoren (LAK)'!$D$31/1000*CO2_Bepreisungsrechner!H4*100</f>
        <v>11.130143836102999</v>
      </c>
      <c r="I11" s="43">
        <f>'Heiz- und Brennwert (Bafa)'!$D$8*Preisauswirkungen!$E$18*'CO2-Faktoren (LAK)'!$D$31/1000*CO2_Bepreisungsrechner!I4*100</f>
        <v>11.130143836102999</v>
      </c>
      <c r="J11" s="43">
        <f>'Heiz- und Brennwert (Bafa)'!$D$8*Preisauswirkungen!$E$18*'CO2-Faktoren (LAK)'!$D$31/1000*CO2_Bepreisungsrechner!J4*100</f>
        <v>11.130143836102999</v>
      </c>
      <c r="K11" s="43">
        <f>'Heiz- und Brennwert (Bafa)'!$D$8*Preisauswirkungen!$E$18*'CO2-Faktoren (LAK)'!$D$31/1000*CO2_Bepreisungsrechner!K4*100</f>
        <v>11.130143836102999</v>
      </c>
      <c r="L11" s="43">
        <f>'Heiz- und Brennwert (Bafa)'!$D$8*Preisauswirkungen!$E$18*'CO2-Faktoren (LAK)'!$D$31/1000*CO2_Bepreisungsrechner!L4*100</f>
        <v>11.130143836102999</v>
      </c>
      <c r="M11" s="43">
        <f>'Heiz- und Brennwert (Bafa)'!$D$8*Preisauswirkungen!$E$18*'CO2-Faktoren (LAK)'!$D$31/1000*CO2_Bepreisungsrechner!M4*100</f>
        <v>11.130143836102999</v>
      </c>
      <c r="N11" s="43">
        <f>'Heiz- und Brennwert (Bafa)'!$D$8*Preisauswirkungen!$E$18*'CO2-Faktoren (LAK)'!$D$31/1000*CO2_Bepreisungsrechner!N4*100</f>
        <v>11.130143836102999</v>
      </c>
    </row>
    <row r="12" spans="1:14" x14ac:dyDescent="0.5">
      <c r="A12" s="48" t="s">
        <v>157</v>
      </c>
      <c r="B12" s="33"/>
      <c r="C12" s="33"/>
      <c r="D12" s="32" t="s">
        <v>72</v>
      </c>
      <c r="E12" s="49">
        <f>'Heiz- und Brennwert (Bafa)'!$D$13*'CO2-Faktoren-Verkehr'!$D$7/1000*CO2_Bepreisungsrechner!E4*100</f>
        <v>15.61890704874361</v>
      </c>
      <c r="F12" s="49">
        <f>'Heiz- und Brennwert (Bafa)'!$D$13*'CO2-Faktoren-Verkehr'!$D$7/1000*CO2_Bepreisungsrechner!F4*100</f>
        <v>18.458708330333359</v>
      </c>
      <c r="G12" s="49">
        <f>'Heiz- und Brennwert (Bafa)'!$D$13*'CO2-Faktoren-Verkehr'!$D$7/1000*CO2_Bepreisungsrechner!G4*100</f>
        <v>18.458708330333359</v>
      </c>
      <c r="H12" s="49">
        <f>'Heiz- und Brennwert (Bafa)'!$D$13*'CO2-Faktoren-Verkehr'!$D$7/1000*CO2_Bepreisungsrechner!H4*100</f>
        <v>18.458708330333359</v>
      </c>
      <c r="I12" s="49">
        <f>'Heiz- und Brennwert (Bafa)'!$D$13*'CO2-Faktoren-Verkehr'!$D$7/1000*CO2_Bepreisungsrechner!I4*100</f>
        <v>18.458708330333359</v>
      </c>
      <c r="J12" s="49">
        <f>'Heiz- und Brennwert (Bafa)'!$D$13*'CO2-Faktoren-Verkehr'!$D$7/1000*CO2_Bepreisungsrechner!J4*100</f>
        <v>18.458708330333359</v>
      </c>
      <c r="K12" s="49">
        <f>'Heiz- und Brennwert (Bafa)'!$D$13*'CO2-Faktoren-Verkehr'!$D$7/1000*CO2_Bepreisungsrechner!K4*100</f>
        <v>18.458708330333359</v>
      </c>
      <c r="L12" s="49">
        <f>'Heiz- und Brennwert (Bafa)'!$D$13*'CO2-Faktoren-Verkehr'!$D$7/1000*CO2_Bepreisungsrechner!L4*100</f>
        <v>18.458708330333359</v>
      </c>
      <c r="M12" s="49">
        <f>'Heiz- und Brennwert (Bafa)'!$D$13*'CO2-Faktoren-Verkehr'!$D$7/1000*CO2_Bepreisungsrechner!M4*100</f>
        <v>18.458708330333359</v>
      </c>
      <c r="N12" s="49">
        <f>'Heiz- und Brennwert (Bafa)'!$D$13*'CO2-Faktoren-Verkehr'!$D$7/1000*CO2_Bepreisungsrechner!N4*100</f>
        <v>18.458708330333359</v>
      </c>
    </row>
    <row r="13" spans="1:14" x14ac:dyDescent="0.5">
      <c r="A13" s="48" t="s">
        <v>158</v>
      </c>
      <c r="B13" s="33"/>
      <c r="C13" s="33"/>
      <c r="D13" s="50" t="s">
        <v>72</v>
      </c>
      <c r="E13" s="49">
        <f>'Heiz- und Brennwert (Bafa)'!$D$24*'CO2-Faktoren-Verkehr'!$D$5/1000*CO2_Bepreisungsrechner!E4*100</f>
        <v>13.855715793380726</v>
      </c>
      <c r="F13" s="49">
        <f>'Heiz- und Brennwert (Bafa)'!$D$24*'CO2-Faktoren-Verkehr'!$D$5/1000*CO2_Bepreisungsrechner!F4*100</f>
        <v>16.374936846722679</v>
      </c>
      <c r="G13" s="49">
        <f>'Heiz- und Brennwert (Bafa)'!$D$24*'CO2-Faktoren-Verkehr'!$D$5/1000*CO2_Bepreisungsrechner!G4*100</f>
        <v>16.374936846722679</v>
      </c>
      <c r="H13" s="49">
        <f>'Heiz- und Brennwert (Bafa)'!$D$24*'CO2-Faktoren-Verkehr'!$D$5/1000*CO2_Bepreisungsrechner!H4*100</f>
        <v>16.374936846722679</v>
      </c>
      <c r="I13" s="49">
        <f>'Heiz- und Brennwert (Bafa)'!$D$24*'CO2-Faktoren-Verkehr'!$D$5/1000*CO2_Bepreisungsrechner!I4*100</f>
        <v>16.374936846722679</v>
      </c>
      <c r="J13" s="49">
        <f>'Heiz- und Brennwert (Bafa)'!$D$24*'CO2-Faktoren-Verkehr'!$D$5/1000*CO2_Bepreisungsrechner!J4*100</f>
        <v>16.374936846722679</v>
      </c>
      <c r="K13" s="49">
        <f>'Heiz- und Brennwert (Bafa)'!$D$24*'CO2-Faktoren-Verkehr'!$D$5/1000*CO2_Bepreisungsrechner!K4*100</f>
        <v>16.374936846722679</v>
      </c>
      <c r="L13" s="49">
        <f>'Heiz- und Brennwert (Bafa)'!$D$24*'CO2-Faktoren-Verkehr'!$D$5/1000*CO2_Bepreisungsrechner!L4*100</f>
        <v>16.374936846722679</v>
      </c>
      <c r="M13" s="49">
        <f>'Heiz- und Brennwert (Bafa)'!$D$24*'CO2-Faktoren-Verkehr'!$D$5/1000*CO2_Bepreisungsrechner!M4*100</f>
        <v>16.374936846722679</v>
      </c>
      <c r="N13" s="49">
        <f>'Heiz- und Brennwert (Bafa)'!$D$24*'CO2-Faktoren-Verkehr'!$D$5/1000*CO2_Bepreisungsrechner!N4*100</f>
        <v>16.374936846722679</v>
      </c>
    </row>
    <row r="14" spans="1:14" x14ac:dyDescent="0.5">
      <c r="A14" s="48" t="s">
        <v>159</v>
      </c>
      <c r="B14" s="33"/>
      <c r="C14" s="33"/>
      <c r="D14" s="49" t="s">
        <v>72</v>
      </c>
      <c r="E14" s="49">
        <f>'Heiz- und Brennwert (Bafa)'!$D$12*'CO2-Faktoren-Verkehr'!$D$6/1000*CO2_Bepreisungsrechner!E4*100</f>
        <v>14.397177622579019</v>
      </c>
      <c r="F14" s="49">
        <f>'Heiz- und Brennwert (Bafa)'!$D$12*'CO2-Faktoren-Verkehr'!$D$6/1000*CO2_Bepreisungsrechner!F4*100</f>
        <v>17.014846281229751</v>
      </c>
      <c r="G14" s="49">
        <f>'Heiz- und Brennwert (Bafa)'!$D$12*'CO2-Faktoren-Verkehr'!$D$6/1000*CO2_Bepreisungsrechner!G4*100</f>
        <v>17.014846281229751</v>
      </c>
      <c r="H14" s="49">
        <f>'Heiz- und Brennwert (Bafa)'!$D$12*'CO2-Faktoren-Verkehr'!$D$6/1000*CO2_Bepreisungsrechner!H4*100</f>
        <v>17.014846281229751</v>
      </c>
      <c r="I14" s="49">
        <f>'Heiz- und Brennwert (Bafa)'!$D$12*'CO2-Faktoren-Verkehr'!$D$6/1000*CO2_Bepreisungsrechner!I4*100</f>
        <v>17.014846281229751</v>
      </c>
      <c r="J14" s="49">
        <f>'Heiz- und Brennwert (Bafa)'!$D$12*'CO2-Faktoren-Verkehr'!$D$6/1000*CO2_Bepreisungsrechner!J4*100</f>
        <v>17.014846281229751</v>
      </c>
      <c r="K14" s="49">
        <f>'Heiz- und Brennwert (Bafa)'!$D$12*'CO2-Faktoren-Verkehr'!$D$6/1000*CO2_Bepreisungsrechner!K4*100</f>
        <v>17.014846281229751</v>
      </c>
      <c r="L14" s="49">
        <f>'Heiz- und Brennwert (Bafa)'!$D$12*'CO2-Faktoren-Verkehr'!$D$6/1000*CO2_Bepreisungsrechner!L4*100</f>
        <v>17.014846281229751</v>
      </c>
      <c r="M14" s="49">
        <f>'Heiz- und Brennwert (Bafa)'!$D$12*'CO2-Faktoren-Verkehr'!$D$6/1000*CO2_Bepreisungsrechner!M4*100</f>
        <v>17.014846281229751</v>
      </c>
      <c r="N14" s="49">
        <f>'Heiz- und Brennwert (Bafa)'!$D$12*'CO2-Faktoren-Verkehr'!$D$6/1000*CO2_Bepreisungsrechner!N4*100</f>
        <v>17.014846281229751</v>
      </c>
    </row>
    <row r="17" spans="1:7" x14ac:dyDescent="0.5">
      <c r="A17" s="211" t="s">
        <v>6</v>
      </c>
      <c r="B17" s="212"/>
      <c r="C17" s="212"/>
      <c r="D17" s="213"/>
      <c r="E17" s="47" t="s">
        <v>77</v>
      </c>
      <c r="F17" s="47"/>
    </row>
    <row r="18" spans="1:7" x14ac:dyDescent="0.5">
      <c r="A18" s="214" t="s">
        <v>78</v>
      </c>
      <c r="B18" s="215"/>
      <c r="C18" s="215"/>
      <c r="D18" s="216"/>
      <c r="E18" s="33">
        <v>0.51</v>
      </c>
      <c r="F18" s="33" t="s">
        <v>76</v>
      </c>
      <c r="G18" s="38" t="s">
        <v>79</v>
      </c>
    </row>
  </sheetData>
  <mergeCells count="4">
    <mergeCell ref="A2:J2"/>
    <mergeCell ref="B4:C4"/>
    <mergeCell ref="A17:D17"/>
    <mergeCell ref="A18:D18"/>
  </mergeCells>
  <pageMargins left="0.7" right="0.7" top="0.78740157499999996" bottom="0.78740157499999996" header="0.3" footer="0.3"/>
  <pageSetup paperSize="9"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09AF8-37BC-4DB6-85ED-C2B12C4E8BE2}">
  <dimension ref="A3:W88"/>
  <sheetViews>
    <sheetView topLeftCell="A43" zoomScale="70" zoomScaleNormal="70" workbookViewId="0">
      <selection activeCell="L61" sqref="L61"/>
    </sheetView>
  </sheetViews>
  <sheetFormatPr baseColWidth="10" defaultRowHeight="14.4" x14ac:dyDescent="0.3"/>
  <cols>
    <col min="1" max="1" width="35.5546875" bestFit="1" customWidth="1"/>
    <col min="4" max="11" width="12.6640625" bestFit="1" customWidth="1"/>
    <col min="12" max="12" width="28.33203125" bestFit="1" customWidth="1"/>
    <col min="13" max="13" width="11.6640625" bestFit="1" customWidth="1"/>
    <col min="14" max="14" width="13.33203125" bestFit="1" customWidth="1"/>
    <col min="15" max="21" width="12.6640625" bestFit="1" customWidth="1"/>
    <col min="22" max="22" width="11.88671875" bestFit="1" customWidth="1"/>
  </cols>
  <sheetData>
    <row r="3" spans="12:17" x14ac:dyDescent="0.3">
      <c r="M3" t="s">
        <v>270</v>
      </c>
      <c r="N3" t="s">
        <v>269</v>
      </c>
      <c r="O3" t="s">
        <v>272</v>
      </c>
    </row>
    <row r="4" spans="12:17" x14ac:dyDescent="0.3">
      <c r="L4" t="s">
        <v>271</v>
      </c>
      <c r="M4" s="132">
        <v>746000000</v>
      </c>
      <c r="N4" s="132">
        <v>112000000</v>
      </c>
      <c r="O4" s="133">
        <f>N4/M4</f>
        <v>0.15013404825737264</v>
      </c>
    </row>
    <row r="5" spans="12:17" x14ac:dyDescent="0.3">
      <c r="N5" s="132">
        <v>148000000</v>
      </c>
      <c r="O5" s="131">
        <f>N5/M4</f>
        <v>0.19839142091152814</v>
      </c>
    </row>
    <row r="6" spans="12:17" x14ac:dyDescent="0.3">
      <c r="N6" s="132">
        <v>210000000</v>
      </c>
      <c r="O6" s="131">
        <f>N4/$N$6-1</f>
        <v>-0.46666666666666667</v>
      </c>
    </row>
    <row r="7" spans="12:17" x14ac:dyDescent="0.3">
      <c r="N7" s="132">
        <f>N6*(1-0.65)</f>
        <v>73500000</v>
      </c>
      <c r="O7" s="131">
        <f>N7/$N$6-1</f>
        <v>-0.65</v>
      </c>
    </row>
    <row r="8" spans="12:17" x14ac:dyDescent="0.3">
      <c r="N8" s="131">
        <f>(N4-N7)/N4</f>
        <v>0.34375</v>
      </c>
    </row>
    <row r="9" spans="12:17" x14ac:dyDescent="0.3">
      <c r="N9" s="131">
        <f>(N7/N4)-1</f>
        <v>-0.34375</v>
      </c>
    </row>
    <row r="15" spans="12:17" x14ac:dyDescent="0.3">
      <c r="L15">
        <v>112</v>
      </c>
      <c r="M15" t="s">
        <v>124</v>
      </c>
      <c r="N15">
        <v>210</v>
      </c>
      <c r="O15" t="s">
        <v>273</v>
      </c>
      <c r="P15">
        <v>0.47</v>
      </c>
      <c r="Q15">
        <f>N15*P15</f>
        <v>98.699999999999989</v>
      </c>
    </row>
    <row r="23" spans="1:23" ht="15" thickBot="1" x14ac:dyDescent="0.35"/>
    <row r="24" spans="1:23" ht="15" thickBot="1" x14ac:dyDescent="0.35">
      <c r="B24" s="136" t="s">
        <v>259</v>
      </c>
      <c r="C24" s="137" t="s">
        <v>260</v>
      </c>
      <c r="D24" s="137" t="s">
        <v>261</v>
      </c>
      <c r="E24" s="138">
        <v>2027</v>
      </c>
      <c r="F24" s="137" t="s">
        <v>263</v>
      </c>
      <c r="G24" s="137" t="s">
        <v>264</v>
      </c>
      <c r="H24" s="137" t="s">
        <v>265</v>
      </c>
      <c r="I24" s="137" t="s">
        <v>266</v>
      </c>
      <c r="J24" s="137" t="s">
        <v>267</v>
      </c>
      <c r="K24" s="139" t="s">
        <v>268</v>
      </c>
      <c r="L24" s="140">
        <v>2034</v>
      </c>
      <c r="M24" s="141">
        <v>2035</v>
      </c>
      <c r="N24" s="138">
        <v>2036</v>
      </c>
      <c r="O24" s="141">
        <v>2037</v>
      </c>
      <c r="P24" s="138">
        <v>2038</v>
      </c>
      <c r="Q24" s="141">
        <v>2039</v>
      </c>
      <c r="R24" s="138">
        <v>2040</v>
      </c>
      <c r="S24" s="141">
        <v>2041</v>
      </c>
      <c r="T24" s="138">
        <v>2042</v>
      </c>
      <c r="U24" s="141">
        <v>2043</v>
      </c>
      <c r="V24" s="142">
        <v>2044</v>
      </c>
      <c r="W24">
        <v>2045</v>
      </c>
    </row>
    <row r="25" spans="1:23" x14ac:dyDescent="0.3">
      <c r="A25" t="s">
        <v>274</v>
      </c>
      <c r="B25">
        <v>45</v>
      </c>
      <c r="C25">
        <v>55</v>
      </c>
      <c r="D25">
        <v>65</v>
      </c>
      <c r="E25">
        <v>65</v>
      </c>
      <c r="F25">
        <v>65</v>
      </c>
      <c r="G25">
        <v>65</v>
      </c>
      <c r="H25">
        <v>65</v>
      </c>
      <c r="I25">
        <v>65</v>
      </c>
      <c r="J25">
        <v>65</v>
      </c>
      <c r="K25">
        <v>65</v>
      </c>
      <c r="L25">
        <v>65</v>
      </c>
      <c r="M25">
        <v>65</v>
      </c>
      <c r="N25">
        <v>65</v>
      </c>
      <c r="O25">
        <v>65</v>
      </c>
      <c r="P25">
        <v>65</v>
      </c>
      <c r="Q25">
        <v>65</v>
      </c>
      <c r="R25">
        <v>65</v>
      </c>
      <c r="S25">
        <v>65</v>
      </c>
      <c r="T25">
        <v>65</v>
      </c>
      <c r="U25">
        <v>65</v>
      </c>
      <c r="V25">
        <v>65</v>
      </c>
      <c r="W25">
        <v>65</v>
      </c>
    </row>
    <row r="26" spans="1:23" x14ac:dyDescent="0.3">
      <c r="A26" s="143" t="s">
        <v>275</v>
      </c>
      <c r="B26" s="134">
        <v>2798.1430565277278</v>
      </c>
      <c r="C26" s="134">
        <v>3419.9526246450009</v>
      </c>
      <c r="D26" s="134">
        <v>4041.7621927622736</v>
      </c>
      <c r="E26" s="134">
        <v>4041.7621927622736</v>
      </c>
      <c r="F26" s="134">
        <v>4041.7621927622736</v>
      </c>
      <c r="G26" s="134">
        <v>4041.7621927622736</v>
      </c>
      <c r="H26" s="134">
        <v>4041.7621927622736</v>
      </c>
      <c r="I26" s="134">
        <v>4041.7621927622736</v>
      </c>
      <c r="J26" s="134">
        <v>4041.7621927622736</v>
      </c>
      <c r="K26" s="134">
        <v>4041.7621927622736</v>
      </c>
      <c r="L26" s="134">
        <v>4041.7621927622736</v>
      </c>
      <c r="M26" s="134">
        <v>4041.7621927622736</v>
      </c>
      <c r="N26" s="134">
        <v>4041.7621927622736</v>
      </c>
      <c r="O26" s="134">
        <v>4041.7621927622736</v>
      </c>
      <c r="P26" s="134">
        <v>4041.7621927622736</v>
      </c>
      <c r="Q26" s="134">
        <v>4041.7621927622736</v>
      </c>
      <c r="R26" s="134">
        <v>4041.7621927622736</v>
      </c>
      <c r="S26" s="134">
        <v>4041.7621927622736</v>
      </c>
      <c r="T26" s="134">
        <v>4041.7621927622736</v>
      </c>
      <c r="U26" s="134">
        <v>4041.7621927622736</v>
      </c>
      <c r="V26" s="134">
        <v>4041.7621927622736</v>
      </c>
    </row>
    <row r="27" spans="1:23" x14ac:dyDescent="0.3">
      <c r="A27" s="143" t="s">
        <v>276</v>
      </c>
      <c r="B27" s="134">
        <f>B26</f>
        <v>2798.1430565277278</v>
      </c>
      <c r="C27" s="134">
        <f>B27+C26</f>
        <v>6218.0956811727283</v>
      </c>
      <c r="D27" s="134">
        <f t="shared" ref="D27:K27" si="0">C27+D26</f>
        <v>10259.857873935001</v>
      </c>
      <c r="E27" s="134">
        <f t="shared" si="0"/>
        <v>14301.620066697275</v>
      </c>
      <c r="F27" s="134">
        <f t="shared" si="0"/>
        <v>18343.382259459548</v>
      </c>
      <c r="G27" s="134">
        <f t="shared" si="0"/>
        <v>22385.144452221823</v>
      </c>
      <c r="H27" s="134">
        <f t="shared" si="0"/>
        <v>26426.906644984098</v>
      </c>
      <c r="I27" s="134">
        <f t="shared" si="0"/>
        <v>30468.668837746372</v>
      </c>
      <c r="J27" s="134">
        <f t="shared" si="0"/>
        <v>34510.431030508647</v>
      </c>
      <c r="K27" s="134">
        <f t="shared" si="0"/>
        <v>38552.193223270922</v>
      </c>
      <c r="L27" s="134">
        <f t="shared" ref="L27" si="1">K27+L26</f>
        <v>42593.955416033197</v>
      </c>
      <c r="M27" s="134">
        <f t="shared" ref="M27" si="2">L27+M26</f>
        <v>46635.717608795472</v>
      </c>
      <c r="N27" s="134">
        <f t="shared" ref="N27" si="3">M27+N26</f>
        <v>50677.479801557747</v>
      </c>
      <c r="O27" s="134">
        <f t="shared" ref="O27" si="4">N27+O26</f>
        <v>54719.241994320022</v>
      </c>
      <c r="P27" s="134">
        <f t="shared" ref="P27" si="5">O27+P26</f>
        <v>58761.004187082297</v>
      </c>
      <c r="Q27" s="134">
        <f t="shared" ref="Q27" si="6">P27+Q26</f>
        <v>62802.766379844572</v>
      </c>
      <c r="R27" s="134">
        <f t="shared" ref="R27" si="7">Q27+R26</f>
        <v>66844.52857260684</v>
      </c>
      <c r="S27" s="134">
        <f t="shared" ref="S27" si="8">R27+S26</f>
        <v>70886.290765369107</v>
      </c>
      <c r="T27" s="134">
        <f t="shared" ref="T27" si="9">S27+T26</f>
        <v>74928.052958131375</v>
      </c>
      <c r="U27" s="134">
        <f t="shared" ref="U27" si="10">T27+U26</f>
        <v>78969.815150893643</v>
      </c>
      <c r="V27" s="134">
        <f t="shared" ref="V27" si="11">U27+V26</f>
        <v>83011.57734365591</v>
      </c>
    </row>
    <row r="28" spans="1:23" x14ac:dyDescent="0.3">
      <c r="A28" s="143" t="s">
        <v>280</v>
      </c>
      <c r="B28" s="144">
        <v>0.90437719991200005</v>
      </c>
      <c r="C28" s="145">
        <v>1.1053499110035556</v>
      </c>
      <c r="D28" s="145">
        <v>1.3063226220951112</v>
      </c>
      <c r="E28" s="145">
        <v>1.3063226220951112</v>
      </c>
      <c r="F28" s="145">
        <v>1.3063226220951112</v>
      </c>
      <c r="G28" s="145">
        <v>1.3063226220951112</v>
      </c>
      <c r="H28" s="145">
        <v>1.3063226220951112</v>
      </c>
      <c r="I28" s="145">
        <v>1.3063226220951112</v>
      </c>
      <c r="J28" s="145">
        <v>1.3063226220951112</v>
      </c>
      <c r="K28" s="145">
        <v>1.3063226220951112</v>
      </c>
      <c r="L28" s="145">
        <v>1.3063226220951112</v>
      </c>
      <c r="M28" s="145">
        <v>1.3063226220951112</v>
      </c>
      <c r="N28" s="145">
        <v>1.3063226220951112</v>
      </c>
      <c r="O28" s="145">
        <v>1.3063226220951112</v>
      </c>
      <c r="P28" s="145">
        <v>1.3063226220951112</v>
      </c>
      <c r="Q28" s="145">
        <v>1.3063226220951112</v>
      </c>
      <c r="R28" s="145">
        <v>1.3063226220951112</v>
      </c>
      <c r="S28" s="145">
        <v>1.3063226220951112</v>
      </c>
      <c r="T28" s="145">
        <v>1.3063226220951112</v>
      </c>
      <c r="U28" s="145">
        <v>1.3063226220951112</v>
      </c>
      <c r="V28" s="134"/>
    </row>
    <row r="29" spans="1:23" x14ac:dyDescent="0.3">
      <c r="A29" t="s">
        <v>278</v>
      </c>
      <c r="B29" s="98">
        <v>45</v>
      </c>
      <c r="C29" s="98">
        <v>55</v>
      </c>
      <c r="D29" s="98">
        <v>65</v>
      </c>
      <c r="E29" s="98">
        <f t="shared" ref="E29:W29" si="12">D29+((100-$D29)/($W$24-$E$24))</f>
        <v>66.944444444444443</v>
      </c>
      <c r="F29" s="98">
        <f t="shared" si="12"/>
        <v>68.888888888888886</v>
      </c>
      <c r="G29" s="98">
        <f t="shared" si="12"/>
        <v>70.833333333333329</v>
      </c>
      <c r="H29" s="98">
        <f t="shared" si="12"/>
        <v>72.777777777777771</v>
      </c>
      <c r="I29" s="98">
        <f t="shared" si="12"/>
        <v>74.722222222222214</v>
      </c>
      <c r="J29" s="98">
        <f t="shared" si="12"/>
        <v>76.666666666666657</v>
      </c>
      <c r="K29" s="98">
        <f t="shared" si="12"/>
        <v>78.6111111111111</v>
      </c>
      <c r="L29" s="98">
        <f t="shared" si="12"/>
        <v>80.555555555555543</v>
      </c>
      <c r="M29" s="98">
        <f t="shared" si="12"/>
        <v>82.499999999999986</v>
      </c>
      <c r="N29" s="98">
        <f t="shared" si="12"/>
        <v>84.444444444444429</v>
      </c>
      <c r="O29" s="98">
        <f t="shared" si="12"/>
        <v>86.388888888888872</v>
      </c>
      <c r="P29" s="98">
        <f t="shared" si="12"/>
        <v>88.333333333333314</v>
      </c>
      <c r="Q29" s="98">
        <f t="shared" si="12"/>
        <v>90.277777777777757</v>
      </c>
      <c r="R29" s="98">
        <f t="shared" si="12"/>
        <v>92.2222222222222</v>
      </c>
      <c r="S29" s="98">
        <f t="shared" si="12"/>
        <v>94.166666666666643</v>
      </c>
      <c r="T29" s="98">
        <f t="shared" si="12"/>
        <v>96.111111111111086</v>
      </c>
      <c r="U29" s="98">
        <f t="shared" si="12"/>
        <v>98.055555555555529</v>
      </c>
      <c r="V29" s="98">
        <f t="shared" si="12"/>
        <v>99.999999999999972</v>
      </c>
      <c r="W29" s="98">
        <f t="shared" si="12"/>
        <v>101.94444444444441</v>
      </c>
    </row>
    <row r="30" spans="1:23" x14ac:dyDescent="0.3">
      <c r="A30" s="143" t="s">
        <v>277</v>
      </c>
      <c r="B30" s="98">
        <v>2798.1430565277278</v>
      </c>
      <c r="C30" s="98">
        <v>3419.9526246450009</v>
      </c>
      <c r="D30" s="98">
        <v>4041.7621927622736</v>
      </c>
      <c r="E30" s="98">
        <v>4162.6696087850769</v>
      </c>
      <c r="F30" s="98">
        <v>4283.5770248078798</v>
      </c>
      <c r="G30" s="98">
        <v>4404.4844408306835</v>
      </c>
      <c r="H30" s="98">
        <v>4525.3918568534855</v>
      </c>
      <c r="I30" s="98">
        <v>4646.2992728762893</v>
      </c>
      <c r="J30" s="98">
        <v>4767.2066888990912</v>
      </c>
      <c r="K30" s="98">
        <v>4888.1141049218941</v>
      </c>
      <c r="L30" s="98">
        <v>5009.0215209446969</v>
      </c>
      <c r="M30" s="98">
        <v>5129.9289369674998</v>
      </c>
      <c r="N30" s="98">
        <v>5250.8363529903036</v>
      </c>
      <c r="O30" s="98">
        <v>5371.7437690131064</v>
      </c>
      <c r="P30" s="98">
        <v>5492.6511850359093</v>
      </c>
      <c r="Q30" s="98">
        <v>5613.5586010587131</v>
      </c>
      <c r="R30" s="98">
        <v>5734.4660170815159</v>
      </c>
      <c r="S30" s="98">
        <v>5855.3734331043188</v>
      </c>
      <c r="T30" s="98">
        <v>5976.2808491271217</v>
      </c>
      <c r="U30" s="98">
        <v>6097.1882651499236</v>
      </c>
    </row>
    <row r="31" spans="1:23" x14ac:dyDescent="0.3">
      <c r="A31" s="143" t="s">
        <v>276</v>
      </c>
      <c r="B31" s="111">
        <f>B30</f>
        <v>2798.1430565277278</v>
      </c>
      <c r="C31" s="111">
        <f>B31+C30</f>
        <v>6218.0956811727283</v>
      </c>
      <c r="D31" s="111">
        <f t="shared" ref="D31:K31" si="13">C31+D30</f>
        <v>10259.857873935001</v>
      </c>
      <c r="E31" s="111">
        <f t="shared" si="13"/>
        <v>14422.527482720077</v>
      </c>
      <c r="F31" s="111">
        <f t="shared" si="13"/>
        <v>18706.104507527958</v>
      </c>
      <c r="G31" s="111">
        <f t="shared" si="13"/>
        <v>23110.588948358643</v>
      </c>
      <c r="H31" s="111">
        <f t="shared" si="13"/>
        <v>27635.98080521213</v>
      </c>
      <c r="I31" s="111">
        <f t="shared" si="13"/>
        <v>32282.280078088421</v>
      </c>
      <c r="J31" s="111">
        <f t="shared" si="13"/>
        <v>37049.486766987509</v>
      </c>
      <c r="K31" s="111">
        <f t="shared" si="13"/>
        <v>41937.600871909402</v>
      </c>
      <c r="L31" s="111">
        <f t="shared" ref="L31" si="14">K31+L30</f>
        <v>46946.6223928541</v>
      </c>
      <c r="M31" s="111">
        <f t="shared" ref="M31" si="15">L31+M30</f>
        <v>52076.551329821603</v>
      </c>
      <c r="N31" s="111">
        <f t="shared" ref="N31" si="16">M31+N30</f>
        <v>57327.38768281191</v>
      </c>
      <c r="O31" s="111">
        <f t="shared" ref="O31" si="17">N31+O30</f>
        <v>62699.131451825015</v>
      </c>
      <c r="P31" s="111">
        <f t="shared" ref="P31" si="18">O31+P30</f>
        <v>68191.782636860924</v>
      </c>
      <c r="Q31" s="111">
        <f t="shared" ref="Q31" si="19">P31+Q30</f>
        <v>73805.341237919638</v>
      </c>
      <c r="R31" s="111">
        <f t="shared" ref="R31" si="20">Q31+R30</f>
        <v>79539.807255001157</v>
      </c>
      <c r="S31" s="111">
        <f t="shared" ref="S31" si="21">R31+S30</f>
        <v>85395.18068810548</v>
      </c>
      <c r="T31" s="111">
        <f t="shared" ref="T31" si="22">S31+T30</f>
        <v>91371.461537232608</v>
      </c>
      <c r="U31" s="111">
        <f t="shared" ref="U31" si="23">T31+U30</f>
        <v>97468.649802382526</v>
      </c>
    </row>
    <row r="32" spans="1:23" s="135" customFormat="1" x14ac:dyDescent="0.3">
      <c r="A32" s="146" t="s">
        <v>280</v>
      </c>
      <c r="B32" s="145">
        <v>0.90437719991200005</v>
      </c>
      <c r="C32" s="145">
        <v>1.1053499110035556</v>
      </c>
      <c r="D32" s="145">
        <v>1.3063226220951112</v>
      </c>
      <c r="E32" s="145">
        <v>1.3454006492518025</v>
      </c>
      <c r="F32" s="145">
        <v>1.384478676408494</v>
      </c>
      <c r="G32" s="145">
        <v>1.4235567035651853</v>
      </c>
      <c r="H32" s="145">
        <v>1.4626347307218766</v>
      </c>
      <c r="I32" s="145">
        <v>1.5017127578785678</v>
      </c>
      <c r="J32" s="145">
        <v>1.5407907850352591</v>
      </c>
      <c r="K32" s="145">
        <v>1.5798688121919504</v>
      </c>
      <c r="L32" s="145">
        <v>1.6189468393486419</v>
      </c>
      <c r="M32" s="145">
        <v>1.658024866505333</v>
      </c>
      <c r="N32" s="145">
        <v>1.6971028936620245</v>
      </c>
      <c r="O32" s="145">
        <v>1.7361809208187158</v>
      </c>
      <c r="P32" s="145">
        <v>1.7752589479754073</v>
      </c>
      <c r="Q32" s="145">
        <v>1.8143369751320984</v>
      </c>
      <c r="R32" s="145">
        <v>1.8534150022887899</v>
      </c>
      <c r="S32" s="145">
        <v>1.8924930294454811</v>
      </c>
      <c r="T32" s="145">
        <v>1.9315710566021727</v>
      </c>
      <c r="U32" s="145">
        <v>1.9706490837588637</v>
      </c>
    </row>
    <row r="33" spans="1:23" x14ac:dyDescent="0.3">
      <c r="A33" t="s">
        <v>279</v>
      </c>
      <c r="B33" s="98">
        <v>45</v>
      </c>
      <c r="C33" s="98">
        <v>55</v>
      </c>
      <c r="D33" s="98">
        <v>65</v>
      </c>
      <c r="E33" s="98">
        <f>D33+((300-$D33)/($W$24-$E$24))</f>
        <v>78.055555555555557</v>
      </c>
      <c r="F33" s="98">
        <f t="shared" ref="F33:W33" si="24">E33+((300-$D33)/($W$24-$E$24))</f>
        <v>91.111111111111114</v>
      </c>
      <c r="G33" s="98">
        <f t="shared" si="24"/>
        <v>104.16666666666667</v>
      </c>
      <c r="H33" s="98">
        <f t="shared" si="24"/>
        <v>117.22222222222223</v>
      </c>
      <c r="I33" s="98">
        <f t="shared" si="24"/>
        <v>130.27777777777777</v>
      </c>
      <c r="J33" s="98">
        <f t="shared" si="24"/>
        <v>143.33333333333331</v>
      </c>
      <c r="K33" s="98">
        <f t="shared" si="24"/>
        <v>156.38888888888886</v>
      </c>
      <c r="L33" s="98">
        <f t="shared" si="24"/>
        <v>169.4444444444444</v>
      </c>
      <c r="M33" s="98">
        <f t="shared" si="24"/>
        <v>182.49999999999994</v>
      </c>
      <c r="N33" s="98">
        <f t="shared" si="24"/>
        <v>195.55555555555549</v>
      </c>
      <c r="O33" s="98">
        <f t="shared" si="24"/>
        <v>208.61111111111103</v>
      </c>
      <c r="P33" s="98">
        <f t="shared" si="24"/>
        <v>221.66666666666657</v>
      </c>
      <c r="Q33" s="98">
        <f t="shared" si="24"/>
        <v>234.72222222222211</v>
      </c>
      <c r="R33" s="98">
        <f t="shared" si="24"/>
        <v>247.77777777777766</v>
      </c>
      <c r="S33" s="98">
        <f t="shared" si="24"/>
        <v>260.8333333333332</v>
      </c>
      <c r="T33" s="98">
        <f t="shared" si="24"/>
        <v>273.88888888888874</v>
      </c>
      <c r="U33" s="98">
        <f t="shared" si="24"/>
        <v>286.94444444444429</v>
      </c>
      <c r="V33" s="98">
        <f t="shared" si="24"/>
        <v>299.99999999999983</v>
      </c>
      <c r="W33" s="98">
        <f t="shared" si="24"/>
        <v>313.05555555555537</v>
      </c>
    </row>
    <row r="34" spans="1:23" x14ac:dyDescent="0.3">
      <c r="A34" s="143" t="s">
        <v>275</v>
      </c>
      <c r="B34" s="98">
        <v>2798.1430565277278</v>
      </c>
      <c r="C34" s="98">
        <v>3419.9526246450009</v>
      </c>
      <c r="D34" s="98">
        <v>4041.7621927622736</v>
      </c>
      <c r="E34" s="98">
        <v>4853.569128915381</v>
      </c>
      <c r="F34" s="98">
        <v>5665.3760650684862</v>
      </c>
      <c r="G34" s="98">
        <v>6477.1830012215923</v>
      </c>
      <c r="H34" s="98">
        <v>7288.9899373747012</v>
      </c>
      <c r="I34" s="98">
        <v>8100.7968735278037</v>
      </c>
      <c r="J34" s="98">
        <v>8912.6038096809098</v>
      </c>
      <c r="K34" s="98">
        <v>9724.410745834015</v>
      </c>
      <c r="L34" s="98">
        <v>10536.21768198712</v>
      </c>
      <c r="M34" s="98">
        <v>11348.024618140225</v>
      </c>
      <c r="N34" s="98">
        <v>12159.831554293331</v>
      </c>
      <c r="O34" s="98">
        <v>12971.638490446434</v>
      </c>
      <c r="P34" s="98">
        <v>13783.445426599545</v>
      </c>
      <c r="Q34" s="98">
        <v>14595.252362752648</v>
      </c>
      <c r="R34" s="98">
        <v>15407.059298905755</v>
      </c>
      <c r="S34" s="98">
        <v>16218.866235058862</v>
      </c>
      <c r="T34" s="98">
        <v>17030.673171211965</v>
      </c>
      <c r="U34" s="98">
        <v>17842.480107365067</v>
      </c>
    </row>
    <row r="35" spans="1:23" x14ac:dyDescent="0.3">
      <c r="A35" s="143" t="s">
        <v>276</v>
      </c>
      <c r="B35" s="111">
        <f>B34</f>
        <v>2798.1430565277278</v>
      </c>
      <c r="C35" s="111">
        <f>B35+C34</f>
        <v>6218.0956811727283</v>
      </c>
      <c r="D35" s="111">
        <f>C35+D34</f>
        <v>10259.857873935001</v>
      </c>
      <c r="E35" s="111">
        <f t="shared" ref="E35:K35" si="25">D35+E34</f>
        <v>15113.427002850382</v>
      </c>
      <c r="F35" s="111">
        <f t="shared" si="25"/>
        <v>20778.803067918867</v>
      </c>
      <c r="G35" s="111">
        <f t="shared" si="25"/>
        <v>27255.986069140461</v>
      </c>
      <c r="H35" s="111">
        <f t="shared" si="25"/>
        <v>34544.976006515164</v>
      </c>
      <c r="I35" s="111">
        <f t="shared" si="25"/>
        <v>42645.772880042969</v>
      </c>
      <c r="J35" s="111">
        <f t="shared" si="25"/>
        <v>51558.376689723882</v>
      </c>
      <c r="K35" s="111">
        <f t="shared" si="25"/>
        <v>61282.787435557897</v>
      </c>
      <c r="L35" s="111">
        <f t="shared" ref="L35" si="26">K35+L34</f>
        <v>71819.005117545021</v>
      </c>
      <c r="M35" s="111">
        <f t="shared" ref="M35" si="27">L35+M34</f>
        <v>83167.029735685239</v>
      </c>
      <c r="N35" s="111">
        <f t="shared" ref="N35" si="28">M35+N34</f>
        <v>95326.861289978566</v>
      </c>
      <c r="O35" s="111">
        <f t="shared" ref="O35" si="29">N35+O34</f>
        <v>108298.499780425</v>
      </c>
      <c r="P35" s="111">
        <f t="shared" ref="P35" si="30">O35+P34</f>
        <v>122081.94520702455</v>
      </c>
      <c r="Q35" s="111">
        <f t="shared" ref="Q35" si="31">P35+Q34</f>
        <v>136677.1975697772</v>
      </c>
      <c r="R35" s="111">
        <f t="shared" ref="R35" si="32">Q35+R34</f>
        <v>152084.25686868295</v>
      </c>
      <c r="S35" s="111">
        <f t="shared" ref="S35" si="33">R35+S34</f>
        <v>168303.12310374182</v>
      </c>
      <c r="T35" s="111">
        <f t="shared" ref="T35" si="34">S35+T34</f>
        <v>185333.79627495378</v>
      </c>
      <c r="U35" s="111">
        <f t="shared" ref="U35" si="35">T35+U34</f>
        <v>203176.27638231884</v>
      </c>
    </row>
    <row r="36" spans="1:23" x14ac:dyDescent="0.3">
      <c r="A36" s="143" t="s">
        <v>280</v>
      </c>
      <c r="B36" s="144">
        <v>0.90437719991200005</v>
      </c>
      <c r="C36" s="144">
        <v>1.1053499110035556</v>
      </c>
      <c r="D36" s="144">
        <v>1.3063226220951112</v>
      </c>
      <c r="E36" s="144">
        <v>1.5687036615757532</v>
      </c>
      <c r="F36" s="144">
        <v>1.8310847010563951</v>
      </c>
      <c r="G36" s="144">
        <v>2.0934657405370372</v>
      </c>
      <c r="H36" s="144">
        <v>2.3558467800176794</v>
      </c>
      <c r="I36" s="144">
        <v>2.6182278194983208</v>
      </c>
      <c r="J36" s="144">
        <v>2.8806088589789627</v>
      </c>
      <c r="K36" s="144">
        <v>3.1429898984596041</v>
      </c>
      <c r="L36" s="144">
        <v>3.4053709379402464</v>
      </c>
      <c r="M36" s="144">
        <v>3.6677519774208878</v>
      </c>
      <c r="N36" s="144">
        <v>3.9301330169015296</v>
      </c>
      <c r="O36" s="144">
        <v>4.192514056382171</v>
      </c>
      <c r="P36" s="144">
        <v>4.4548950958628133</v>
      </c>
      <c r="Q36" s="144">
        <v>4.7172761353434547</v>
      </c>
      <c r="R36" s="144">
        <v>4.979657174824097</v>
      </c>
      <c r="S36" s="144">
        <v>5.2420382143047384</v>
      </c>
      <c r="T36" s="144">
        <v>5.5044192537853798</v>
      </c>
      <c r="U36" s="144">
        <v>5.7668002932660212</v>
      </c>
    </row>
    <row r="87" spans="2:11" x14ac:dyDescent="0.3">
      <c r="B87" s="147">
        <v>45</v>
      </c>
      <c r="C87" s="147">
        <v>55</v>
      </c>
      <c r="D87" s="147">
        <v>65</v>
      </c>
      <c r="E87" s="147">
        <v>66.944444444444443</v>
      </c>
      <c r="F87" s="147">
        <v>68.888888888888886</v>
      </c>
      <c r="G87" s="147">
        <v>70.833333333333329</v>
      </c>
      <c r="H87" s="147">
        <v>72.777777777777771</v>
      </c>
      <c r="I87" s="147">
        <v>74.722222222222214</v>
      </c>
      <c r="J87" s="147">
        <v>76.666666666666657</v>
      </c>
      <c r="K87" s="147">
        <v>78.6111111111111</v>
      </c>
    </row>
    <row r="88" spans="2:11" x14ac:dyDescent="0.3">
      <c r="B88" s="147">
        <f>ROUND(B87,0)</f>
        <v>45</v>
      </c>
      <c r="C88" s="147">
        <f t="shared" ref="C88:K88" si="36">ROUND(C87,0)</f>
        <v>55</v>
      </c>
      <c r="D88" s="147">
        <f t="shared" si="36"/>
        <v>65</v>
      </c>
      <c r="E88" s="147">
        <f t="shared" si="36"/>
        <v>67</v>
      </c>
      <c r="F88" s="147">
        <f t="shared" si="36"/>
        <v>69</v>
      </c>
      <c r="G88" s="147">
        <f t="shared" si="36"/>
        <v>71</v>
      </c>
      <c r="H88" s="147">
        <f t="shared" si="36"/>
        <v>73</v>
      </c>
      <c r="I88" s="147">
        <f t="shared" si="36"/>
        <v>75</v>
      </c>
      <c r="J88" s="147">
        <f t="shared" si="36"/>
        <v>77</v>
      </c>
      <c r="K88" s="147">
        <f t="shared" si="36"/>
        <v>79</v>
      </c>
    </row>
  </sheetData>
  <pageMargins left="0.7" right="0.7" top="0.78740157499999996" bottom="0.78740157499999996" header="0.3" footer="0.3"/>
  <pageSetup paperSize="9" orientation="portrait"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11E6-CE1B-4B2A-96EC-DF9FADAC1F82}">
  <sheetPr>
    <tabColor rgb="FF92D050"/>
    <pageSetUpPr fitToPage="1"/>
  </sheetPr>
  <dimension ref="B1:L28"/>
  <sheetViews>
    <sheetView showGridLines="0" zoomScale="55" zoomScaleNormal="55" workbookViewId="0">
      <selection activeCell="C4" sqref="C4"/>
    </sheetView>
  </sheetViews>
  <sheetFormatPr baseColWidth="10" defaultRowHeight="14.4" x14ac:dyDescent="0.3"/>
  <cols>
    <col min="2" max="2" width="68.33203125" bestFit="1" customWidth="1"/>
    <col min="3" max="3" width="17.33203125" style="19" bestFit="1" customWidth="1"/>
    <col min="4" max="4" width="17.33203125" bestFit="1" customWidth="1"/>
    <col min="5" max="5" width="49.6640625" bestFit="1" customWidth="1"/>
    <col min="6" max="6" width="27.44140625" bestFit="1" customWidth="1"/>
  </cols>
  <sheetData>
    <row r="1" spans="2:6" ht="15" thickBot="1" x14ac:dyDescent="0.35"/>
    <row r="2" spans="2:6" ht="34.799999999999997" thickTop="1" thickBot="1" x14ac:dyDescent="0.7">
      <c r="B2" s="217" t="s">
        <v>161</v>
      </c>
      <c r="C2" s="218"/>
      <c r="D2" s="218"/>
      <c r="E2" s="72">
        <v>125</v>
      </c>
      <c r="F2" s="73" t="s">
        <v>163</v>
      </c>
    </row>
    <row r="3" spans="2:6" ht="26.4" thickBot="1" x14ac:dyDescent="0.55000000000000004">
      <c r="B3" s="70" t="s">
        <v>162</v>
      </c>
      <c r="C3" s="71" t="s">
        <v>164</v>
      </c>
      <c r="D3" s="71" t="s">
        <v>165</v>
      </c>
      <c r="E3" s="71" t="s">
        <v>169</v>
      </c>
      <c r="F3" s="74" t="s">
        <v>166</v>
      </c>
    </row>
    <row r="4" spans="2:6" ht="26.4" thickBot="1" x14ac:dyDescent="0.55000000000000004">
      <c r="B4" s="70" t="s">
        <v>167</v>
      </c>
      <c r="C4" s="34">
        <v>35</v>
      </c>
      <c r="D4" s="34">
        <v>45</v>
      </c>
      <c r="E4" s="34">
        <v>150</v>
      </c>
      <c r="F4" s="36">
        <v>225</v>
      </c>
    </row>
    <row r="5" spans="2:6" ht="26.4" thickBot="1" x14ac:dyDescent="0.55000000000000004">
      <c r="B5" s="70" t="s">
        <v>168</v>
      </c>
      <c r="C5" s="35">
        <f>C4*$E$2</f>
        <v>4375</v>
      </c>
      <c r="D5" s="35">
        <f>D4*$E$2</f>
        <v>5625</v>
      </c>
      <c r="E5" s="35">
        <f>E4*$E$2</f>
        <v>18750</v>
      </c>
      <c r="F5" s="37">
        <f>F4*$E$2</f>
        <v>28125</v>
      </c>
    </row>
    <row r="6" spans="2:6" ht="30" thickBot="1" x14ac:dyDescent="0.7">
      <c r="B6" s="70" t="s">
        <v>185</v>
      </c>
      <c r="C6" s="99">
        <v>453</v>
      </c>
      <c r="D6" s="99">
        <v>583</v>
      </c>
      <c r="E6" s="99">
        <v>1943</v>
      </c>
      <c r="F6" s="100">
        <v>2915</v>
      </c>
    </row>
    <row r="7" spans="2:6" ht="21.6" customHeight="1" thickBot="1" x14ac:dyDescent="0.35">
      <c r="B7" s="219" t="s">
        <v>170</v>
      </c>
      <c r="C7" s="220"/>
      <c r="D7" s="220"/>
      <c r="E7" s="220"/>
      <c r="F7" s="221"/>
    </row>
    <row r="8" spans="2:6" ht="15" thickTop="1" x14ac:dyDescent="0.3"/>
    <row r="28" spans="2:12" ht="73.95" customHeight="1" x14ac:dyDescent="0.3">
      <c r="B28" s="222" t="s">
        <v>171</v>
      </c>
      <c r="C28" s="222"/>
      <c r="D28" s="222"/>
      <c r="E28" s="222"/>
      <c r="F28" s="222"/>
      <c r="G28" s="56"/>
      <c r="H28" s="56"/>
      <c r="I28" s="56"/>
      <c r="J28" s="56"/>
      <c r="K28" s="56"/>
      <c r="L28" s="56"/>
    </row>
  </sheetData>
  <mergeCells count="3">
    <mergeCell ref="B2:D2"/>
    <mergeCell ref="B7:F7"/>
    <mergeCell ref="B28:F28"/>
  </mergeCells>
  <pageMargins left="0.7" right="0.7" top="0.78740157499999996" bottom="0.78740157499999996" header="0.3" footer="0.3"/>
  <pageSetup paperSize="9" scale="4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B8AB-0698-4173-852F-D3DC8F58525B}">
  <sheetPr>
    <tabColor rgb="FFA6BA30"/>
  </sheetPr>
  <dimension ref="B1:G14"/>
  <sheetViews>
    <sheetView zoomScale="55" zoomScaleNormal="55" zoomScaleSheetLayoutView="90" workbookViewId="0">
      <selection activeCell="C11" sqref="C11"/>
    </sheetView>
  </sheetViews>
  <sheetFormatPr baseColWidth="10" defaultRowHeight="14.4" x14ac:dyDescent="0.3"/>
  <cols>
    <col min="1" max="1" width="11.5546875" customWidth="1"/>
    <col min="2" max="2" width="69.33203125" bestFit="1" customWidth="1"/>
    <col min="3" max="5" width="22.6640625" bestFit="1" customWidth="1"/>
    <col min="6" max="6" width="37.44140625" customWidth="1"/>
    <col min="7" max="7" width="22.33203125" bestFit="1" customWidth="1"/>
  </cols>
  <sheetData>
    <row r="1" spans="2:7" s="112" customFormat="1" ht="36" x14ac:dyDescent="0.8">
      <c r="B1" s="114" t="s">
        <v>286</v>
      </c>
    </row>
    <row r="2" spans="2:7" s="112" customFormat="1" ht="31.2" x14ac:dyDescent="0.6">
      <c r="B2" s="113"/>
    </row>
    <row r="3" spans="2:7" s="112" customFormat="1" ht="31.2" x14ac:dyDescent="0.6">
      <c r="B3" s="114"/>
    </row>
    <row r="4" spans="2:7" s="112" customFormat="1" ht="31.2" customHeight="1" x14ac:dyDescent="0.6">
      <c r="B4" s="225" t="s">
        <v>287</v>
      </c>
      <c r="C4" s="225"/>
      <c r="D4" s="225"/>
      <c r="E4" s="225"/>
      <c r="F4" s="225"/>
      <c r="G4" s="225"/>
    </row>
    <row r="5" spans="2:7" s="112" customFormat="1" ht="39" customHeight="1" x14ac:dyDescent="0.6">
      <c r="B5" s="225"/>
      <c r="C5" s="225"/>
      <c r="D5" s="225"/>
      <c r="E5" s="225"/>
      <c r="F5" s="225"/>
      <c r="G5" s="225"/>
    </row>
    <row r="6" spans="2:7" s="112" customFormat="1" ht="50.4" customHeight="1" thickBot="1" x14ac:dyDescent="0.65">
      <c r="B6" s="226" t="s">
        <v>234</v>
      </c>
      <c r="C6" s="226"/>
      <c r="D6" s="226"/>
      <c r="E6" s="226"/>
      <c r="F6" s="226"/>
      <c r="G6" s="226"/>
    </row>
    <row r="7" spans="2:7" ht="22.2" thickTop="1" thickBot="1" x14ac:dyDescent="0.45">
      <c r="B7" s="223" t="s">
        <v>161</v>
      </c>
      <c r="C7" s="224"/>
      <c r="D7" s="224"/>
      <c r="E7" s="224"/>
      <c r="F7" s="104">
        <v>125</v>
      </c>
      <c r="G7" s="105" t="s">
        <v>163</v>
      </c>
    </row>
    <row r="8" spans="2:7" ht="21.6" thickBot="1" x14ac:dyDescent="0.45">
      <c r="B8" s="106" t="s">
        <v>162</v>
      </c>
      <c r="C8" s="107" t="s">
        <v>214</v>
      </c>
      <c r="D8" s="107" t="s">
        <v>215</v>
      </c>
      <c r="E8" s="107" t="s">
        <v>216</v>
      </c>
      <c r="F8" s="107" t="s">
        <v>169</v>
      </c>
      <c r="G8" s="108" t="s">
        <v>166</v>
      </c>
    </row>
    <row r="9" spans="2:7" ht="21.6" thickBot="1" x14ac:dyDescent="0.45">
      <c r="B9" s="106" t="s">
        <v>167</v>
      </c>
      <c r="C9" s="115">
        <v>25</v>
      </c>
      <c r="D9" s="115">
        <v>35</v>
      </c>
      <c r="E9" s="115">
        <v>45</v>
      </c>
      <c r="F9" s="115">
        <v>150</v>
      </c>
      <c r="G9" s="116">
        <v>225</v>
      </c>
    </row>
    <row r="10" spans="2:7" ht="21.6" thickBot="1" x14ac:dyDescent="0.45">
      <c r="B10" s="106" t="s">
        <v>168</v>
      </c>
      <c r="C10" s="126">
        <f>C9*$F$7</f>
        <v>3125</v>
      </c>
      <c r="D10" s="126">
        <f>D9*$F$7</f>
        <v>4375</v>
      </c>
      <c r="E10" s="126">
        <f>E9*$F$7</f>
        <v>5625</v>
      </c>
      <c r="F10" s="126">
        <f>F9*$F$7</f>
        <v>18750</v>
      </c>
      <c r="G10" s="127">
        <f>G9*$F$7</f>
        <v>28125</v>
      </c>
    </row>
    <row r="11" spans="2:7" ht="25.2" thickBot="1" x14ac:dyDescent="0.6">
      <c r="B11" s="106" t="s">
        <v>218</v>
      </c>
      <c r="C11" s="123">
        <f>Tabelle1!X19</f>
        <v>506.45123195072011</v>
      </c>
      <c r="D11" s="123">
        <f>Tabelle1!X20</f>
        <v>709.03172473100813</v>
      </c>
      <c r="E11" s="123">
        <f>Tabelle1!X21</f>
        <v>911.61221751129608</v>
      </c>
      <c r="F11" s="123">
        <f>Tabelle1!X22</f>
        <v>3038.7073917043203</v>
      </c>
      <c r="G11" s="124">
        <f>Tabelle1!X23</f>
        <v>4558.0610875564807</v>
      </c>
    </row>
    <row r="12" spans="2:7" ht="25.2" thickBot="1" x14ac:dyDescent="0.6">
      <c r="B12" s="106" t="s">
        <v>217</v>
      </c>
      <c r="C12" s="125">
        <f>Tabelle1!X26</f>
        <v>1184.57712195418</v>
      </c>
      <c r="D12" s="125">
        <f>Tabelle1!X27</f>
        <v>1658.4079707358521</v>
      </c>
      <c r="E12" s="125">
        <f>Tabelle1!X28</f>
        <v>2132.2388195175245</v>
      </c>
      <c r="F12" s="125">
        <f>Tabelle1!X29</f>
        <v>7107.4627317250797</v>
      </c>
      <c r="G12" s="125">
        <f>Tabelle1!X30</f>
        <v>10661.19409758762</v>
      </c>
    </row>
    <row r="13" spans="2:7" ht="15" thickBot="1" x14ac:dyDescent="0.35">
      <c r="B13" s="219" t="s">
        <v>170</v>
      </c>
      <c r="C13" s="220"/>
      <c r="D13" s="220"/>
      <c r="E13" s="220"/>
      <c r="F13" s="220"/>
      <c r="G13" s="221"/>
    </row>
    <row r="14" spans="2:7" ht="15" thickTop="1" x14ac:dyDescent="0.3"/>
  </sheetData>
  <sheetProtection algorithmName="SHA-512" hashValue="YCtE1OXbEiX9KCW3G93GIoHol/HFTnPTUVoD0Qg+0azCubjDkUVQf91bBfFOxPlcZ6RkdTpAAYNwI+0XCITK0g==" saltValue="PeF2ULnQ3wncvSJ+uFxv0Q==" spinCount="100000" sheet="1" objects="1" scenarios="1"/>
  <mergeCells count="4">
    <mergeCell ref="B7:E7"/>
    <mergeCell ref="B13:G13"/>
    <mergeCell ref="B4:G5"/>
    <mergeCell ref="B6:G6"/>
  </mergeCells>
  <hyperlinks>
    <hyperlink ref="B6:G6" r:id="rId1" display="Quelle: https://www.bmwsb.bund.de/SharedDocs/downloads/Webs/BMWSB/DE/veroeffentlichungen/pflichtinformation-geg.pdf;jsessionid=0D3F3FCFD53A05A30076107CDC7B9B97.live861?__blob=publicationFile&amp;v=2" xr:uid="{65009DE1-A923-4DAD-8AB4-A1D101FD6D09}"/>
  </hyperlinks>
  <pageMargins left="0.70866141732283472" right="0.70866141732283472" top="0.78740157480314965" bottom="0.78740157480314965" header="0.31496062992125984" footer="0.31496062992125984"/>
  <pageSetup paperSize="9"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D0121-DD0A-48B0-8826-A4CDBA2C1DE2}">
  <sheetPr>
    <tabColor theme="9" tint="-0.249977111117893"/>
  </sheetPr>
  <dimension ref="B1:G14"/>
  <sheetViews>
    <sheetView zoomScale="55" zoomScaleNormal="55" zoomScaleSheetLayoutView="90" workbookViewId="0">
      <selection activeCell="B4" sqref="B4:G5"/>
    </sheetView>
  </sheetViews>
  <sheetFormatPr baseColWidth="10" defaultRowHeight="14.4" x14ac:dyDescent="0.3"/>
  <cols>
    <col min="1" max="1" width="11.5546875" customWidth="1"/>
    <col min="2" max="2" width="69.33203125" bestFit="1" customWidth="1"/>
    <col min="3" max="5" width="22.6640625" bestFit="1" customWidth="1"/>
    <col min="6" max="6" width="37.44140625" customWidth="1"/>
    <col min="7" max="7" width="22.33203125" bestFit="1" customWidth="1"/>
  </cols>
  <sheetData>
    <row r="1" spans="2:7" s="112" customFormat="1" ht="31.2" x14ac:dyDescent="0.6">
      <c r="B1" s="114" t="s">
        <v>288</v>
      </c>
    </row>
    <row r="2" spans="2:7" s="112" customFormat="1" ht="31.2" x14ac:dyDescent="0.6">
      <c r="B2" s="114"/>
    </row>
    <row r="3" spans="2:7" s="112" customFormat="1" ht="31.2" x14ac:dyDescent="0.6">
      <c r="B3" s="114"/>
    </row>
    <row r="4" spans="2:7" s="112" customFormat="1" ht="31.2" customHeight="1" x14ac:dyDescent="0.6">
      <c r="B4" s="225" t="s">
        <v>287</v>
      </c>
      <c r="C4" s="225"/>
      <c r="D4" s="225"/>
      <c r="E4" s="225"/>
      <c r="F4" s="225"/>
      <c r="G4" s="225"/>
    </row>
    <row r="5" spans="2:7" s="112" customFormat="1" ht="39" customHeight="1" x14ac:dyDescent="0.6">
      <c r="B5" s="225"/>
      <c r="C5" s="225"/>
      <c r="D5" s="225"/>
      <c r="E5" s="225"/>
      <c r="F5" s="225"/>
      <c r="G5" s="225"/>
    </row>
    <row r="6" spans="2:7" s="112" customFormat="1" ht="50.4" customHeight="1" thickBot="1" x14ac:dyDescent="0.65">
      <c r="B6" s="226" t="s">
        <v>234</v>
      </c>
      <c r="C6" s="226"/>
      <c r="D6" s="226"/>
      <c r="E6" s="226"/>
      <c r="F6" s="226"/>
      <c r="G6" s="226"/>
    </row>
    <row r="7" spans="2:7" ht="22.2" customHeight="1" thickTop="1" thickBot="1" x14ac:dyDescent="0.45">
      <c r="B7" s="227" t="s">
        <v>161</v>
      </c>
      <c r="C7" s="228"/>
      <c r="D7" s="228"/>
      <c r="E7" s="229"/>
      <c r="F7" s="104">
        <v>125</v>
      </c>
      <c r="G7" s="105" t="s">
        <v>163</v>
      </c>
    </row>
    <row r="8" spans="2:7" ht="21.6" thickBot="1" x14ac:dyDescent="0.45">
      <c r="B8" s="106" t="s">
        <v>162</v>
      </c>
      <c r="C8" s="107" t="s">
        <v>214</v>
      </c>
      <c r="D8" s="107" t="s">
        <v>215</v>
      </c>
      <c r="E8" s="107" t="s">
        <v>216</v>
      </c>
      <c r="F8" s="107" t="s">
        <v>169</v>
      </c>
      <c r="G8" s="108" t="s">
        <v>166</v>
      </c>
    </row>
    <row r="9" spans="2:7" ht="21.6" thickBot="1" x14ac:dyDescent="0.45">
      <c r="B9" s="106" t="s">
        <v>167</v>
      </c>
      <c r="C9" s="115">
        <v>25</v>
      </c>
      <c r="D9" s="115">
        <v>35</v>
      </c>
      <c r="E9" s="115">
        <v>45</v>
      </c>
      <c r="F9" s="115">
        <v>150</v>
      </c>
      <c r="G9" s="116">
        <v>225</v>
      </c>
    </row>
    <row r="10" spans="2:7" ht="21.6" thickBot="1" x14ac:dyDescent="0.45">
      <c r="B10" s="106" t="s">
        <v>168</v>
      </c>
      <c r="C10" s="126">
        <f>C9*$F$7</f>
        <v>3125</v>
      </c>
      <c r="D10" s="126">
        <f>D9*$F$7</f>
        <v>4375</v>
      </c>
      <c r="E10" s="126">
        <f>E9*$F$7</f>
        <v>5625</v>
      </c>
      <c r="F10" s="126">
        <f>F9*$F$7</f>
        <v>18750</v>
      </c>
      <c r="G10" s="127">
        <f>G9*$F$7</f>
        <v>28125</v>
      </c>
    </row>
    <row r="11" spans="2:7" ht="25.2" thickBot="1" x14ac:dyDescent="0.6">
      <c r="B11" s="106" t="s">
        <v>218</v>
      </c>
      <c r="C11" s="117">
        <f>Tabelle1!X35</f>
        <v>629.54701749429762</v>
      </c>
      <c r="D11" s="117">
        <f>Tabelle1!X36</f>
        <v>881.36582449201683</v>
      </c>
      <c r="E11" s="117">
        <f>Tabelle1!X37</f>
        <v>1133.1846314897359</v>
      </c>
      <c r="F11" s="117">
        <f>Tabelle1!X38</f>
        <v>3777.2821049657864</v>
      </c>
      <c r="G11" s="118">
        <f>Tabelle1!X39</f>
        <v>5665.9231574486794</v>
      </c>
    </row>
    <row r="12" spans="2:7" ht="25.2" thickBot="1" x14ac:dyDescent="0.6">
      <c r="B12" s="106" t="s">
        <v>217</v>
      </c>
      <c r="C12" s="119">
        <f>Tabelle1!X42</f>
        <v>1857.2076643887294</v>
      </c>
      <c r="D12" s="119">
        <f>Tabelle1!X43</f>
        <v>2600.0907301442212</v>
      </c>
      <c r="E12" s="119">
        <f>Tabelle1!X44</f>
        <v>3342.973795899713</v>
      </c>
      <c r="F12" s="119">
        <f>Tabelle1!X45</f>
        <v>11143.245986332377</v>
      </c>
      <c r="G12" s="119">
        <f>Tabelle1!X46</f>
        <v>16714.868979498566</v>
      </c>
    </row>
    <row r="13" spans="2:7" ht="15" thickBot="1" x14ac:dyDescent="0.35">
      <c r="B13" s="230" t="s">
        <v>170</v>
      </c>
      <c r="C13" s="231"/>
      <c r="D13" s="231"/>
      <c r="E13" s="231"/>
      <c r="F13" s="231"/>
      <c r="G13" s="232"/>
    </row>
    <row r="14" spans="2:7" ht="15" thickTop="1" x14ac:dyDescent="0.3"/>
  </sheetData>
  <sheetProtection algorithmName="SHA-512" hashValue="7xzMcGhnPRTOW+XW7emp+7TCGBurQ07wr9iGlGs7z+TWvfqZsHvZ/afrlY3DBQ4kgK9+VLUrUKsk83U6JCVRFg==" saltValue="hem6go4DzaIXMsy534/x0w==" spinCount="100000" sheet="1" objects="1" scenarios="1"/>
  <mergeCells count="4">
    <mergeCell ref="B7:E7"/>
    <mergeCell ref="B13:G13"/>
    <mergeCell ref="B4:G5"/>
    <mergeCell ref="B6:G6"/>
  </mergeCells>
  <hyperlinks>
    <hyperlink ref="B6:G6" r:id="rId1" display="Quelle: https://www.bmwsb.bund.de/SharedDocs/downloads/Webs/BMWSB/DE/veroeffentlichungen/pflichtinformation-geg.pdf;jsessionid=0D3F3FCFD53A05A30076107CDC7B9B97.live861?__blob=publicationFile&amp;v=2" xr:uid="{30E6B171-9C58-43A6-B867-CB39782F1FF4}"/>
  </hyperlinks>
  <pageMargins left="0.7" right="0.7" top="0.78740157499999996" bottom="0.78740157499999996"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2041-7BEF-4DFB-AE82-FE1FDB7EBE9A}">
  <sheetPr>
    <tabColor theme="9" tint="-0.499984740745262"/>
  </sheetPr>
  <dimension ref="B1:G14"/>
  <sheetViews>
    <sheetView zoomScale="55" zoomScaleNormal="55" zoomScaleSheetLayoutView="90" workbookViewId="0">
      <selection activeCell="E9" sqref="E9"/>
    </sheetView>
  </sheetViews>
  <sheetFormatPr baseColWidth="10" defaultRowHeight="14.4" x14ac:dyDescent="0.3"/>
  <cols>
    <col min="1" max="1" width="11.5546875" customWidth="1"/>
    <col min="2" max="2" width="69.33203125" bestFit="1" customWidth="1"/>
    <col min="3" max="5" width="22.6640625" bestFit="1" customWidth="1"/>
    <col min="6" max="6" width="37.44140625" customWidth="1"/>
    <col min="7" max="7" width="22.33203125" bestFit="1" customWidth="1"/>
  </cols>
  <sheetData>
    <row r="1" spans="2:7" s="112" customFormat="1" ht="31.2" x14ac:dyDescent="0.6">
      <c r="B1" s="114" t="s">
        <v>227</v>
      </c>
    </row>
    <row r="2" spans="2:7" s="112" customFormat="1" ht="31.2" x14ac:dyDescent="0.6">
      <c r="B2" s="114"/>
    </row>
    <row r="3" spans="2:7" s="112" customFormat="1" ht="31.2" x14ac:dyDescent="0.6">
      <c r="B3" s="114"/>
    </row>
    <row r="4" spans="2:7" s="112" customFormat="1" ht="31.2" customHeight="1" x14ac:dyDescent="0.6">
      <c r="B4" s="225" t="s">
        <v>287</v>
      </c>
      <c r="C4" s="225"/>
      <c r="D4" s="225"/>
      <c r="E4" s="225"/>
      <c r="F4" s="225"/>
      <c r="G4" s="225"/>
    </row>
    <row r="5" spans="2:7" s="112" customFormat="1" ht="42" customHeight="1" x14ac:dyDescent="0.6">
      <c r="B5" s="225"/>
      <c r="C5" s="225"/>
      <c r="D5" s="225"/>
      <c r="E5" s="225"/>
      <c r="F5" s="225"/>
      <c r="G5" s="225"/>
    </row>
    <row r="6" spans="2:7" s="112" customFormat="1" ht="48" customHeight="1" thickBot="1" x14ac:dyDescent="0.65">
      <c r="B6" s="226" t="s">
        <v>234</v>
      </c>
      <c r="C6" s="226"/>
      <c r="D6" s="226"/>
      <c r="E6" s="226"/>
      <c r="F6" s="226"/>
      <c r="G6" s="226"/>
    </row>
    <row r="7" spans="2:7" ht="22.2" thickTop="1" thickBot="1" x14ac:dyDescent="0.45">
      <c r="B7" s="223" t="s">
        <v>161</v>
      </c>
      <c r="C7" s="224"/>
      <c r="D7" s="224"/>
      <c r="E7" s="224"/>
      <c r="F7" s="104">
        <v>125</v>
      </c>
      <c r="G7" s="105" t="s">
        <v>163</v>
      </c>
    </row>
    <row r="8" spans="2:7" ht="21.6" thickBot="1" x14ac:dyDescent="0.45">
      <c r="B8" s="106" t="s">
        <v>162</v>
      </c>
      <c r="C8" s="107" t="s">
        <v>214</v>
      </c>
      <c r="D8" s="107" t="s">
        <v>215</v>
      </c>
      <c r="E8" s="107" t="s">
        <v>216</v>
      </c>
      <c r="F8" s="107" t="s">
        <v>169</v>
      </c>
      <c r="G8" s="108" t="s">
        <v>166</v>
      </c>
    </row>
    <row r="9" spans="2:7" ht="21.6" thickBot="1" x14ac:dyDescent="0.45">
      <c r="B9" s="106" t="s">
        <v>167</v>
      </c>
      <c r="C9" s="115">
        <v>25</v>
      </c>
      <c r="D9" s="115">
        <v>35</v>
      </c>
      <c r="E9" s="115">
        <v>45</v>
      </c>
      <c r="F9" s="115">
        <v>150</v>
      </c>
      <c r="G9" s="116">
        <v>225</v>
      </c>
    </row>
    <row r="10" spans="2:7" ht="21.6" thickBot="1" x14ac:dyDescent="0.45">
      <c r="B10" s="106" t="s">
        <v>168</v>
      </c>
      <c r="C10" s="126">
        <f>C9*$F$7</f>
        <v>3125</v>
      </c>
      <c r="D10" s="126">
        <f>D9*$F$7</f>
        <v>4375</v>
      </c>
      <c r="E10" s="126">
        <f>E9*$F$7</f>
        <v>5625</v>
      </c>
      <c r="F10" s="126">
        <f>F9*$F$7</f>
        <v>18750</v>
      </c>
      <c r="G10" s="127">
        <f>G9*$F$7</f>
        <v>28125</v>
      </c>
    </row>
    <row r="11" spans="2:7" ht="25.2" thickBot="1" x14ac:dyDescent="0.6">
      <c r="B11" s="106" t="s">
        <v>218</v>
      </c>
      <c r="C11" s="120">
        <f>Tabelle1!X51</f>
        <v>752.64280303787552</v>
      </c>
      <c r="D11" s="120">
        <f>Tabelle1!X52</f>
        <v>1053.6999242530258</v>
      </c>
      <c r="E11" s="120">
        <f>Tabelle1!X53</f>
        <v>1354.7570454681761</v>
      </c>
      <c r="F11" s="120">
        <f>Tabelle1!X54</f>
        <v>4515.8568182272529</v>
      </c>
      <c r="G11" s="121">
        <f>Tabelle1!X55</f>
        <v>6773.7852273408807</v>
      </c>
    </row>
    <row r="12" spans="2:7" ht="25.2" thickBot="1" x14ac:dyDescent="0.6">
      <c r="B12" s="106" t="s">
        <v>217</v>
      </c>
      <c r="C12" s="122">
        <f>Tabelle1!X58</f>
        <v>2529.8382068232791</v>
      </c>
      <c r="D12" s="122">
        <f>Tabelle1!X59</f>
        <v>3541.7734895525905</v>
      </c>
      <c r="E12" s="122">
        <f>Tabelle1!X60</f>
        <v>4553.7087722819024</v>
      </c>
      <c r="F12" s="122">
        <f>Tabelle1!X61</f>
        <v>15179.029240939673</v>
      </c>
      <c r="G12" s="122">
        <f>Tabelle1!X62</f>
        <v>22768.543861409515</v>
      </c>
    </row>
    <row r="13" spans="2:7" ht="15" thickBot="1" x14ac:dyDescent="0.35">
      <c r="B13" s="219" t="s">
        <v>170</v>
      </c>
      <c r="C13" s="220"/>
      <c r="D13" s="220"/>
      <c r="E13" s="220"/>
      <c r="F13" s="220"/>
      <c r="G13" s="221"/>
    </row>
    <row r="14" spans="2:7" ht="15" thickTop="1" x14ac:dyDescent="0.3"/>
  </sheetData>
  <sheetProtection algorithmName="SHA-512" hashValue="T/wy3xMWY2JRh4q32FC5R7BZ6YEom3jvsahl+Rph/cl4hh4KV+cO6XpzUlkUjjmzprhVr1Bg27s9bmhascwx5w==" saltValue="jQGqiRH0WRgT9geMy0rWBA==" spinCount="100000" sheet="1" objects="1" scenarios="1"/>
  <mergeCells count="4">
    <mergeCell ref="B7:E7"/>
    <mergeCell ref="B13:G13"/>
    <mergeCell ref="B4:G5"/>
    <mergeCell ref="B6:G6"/>
  </mergeCells>
  <hyperlinks>
    <hyperlink ref="B6:G6" r:id="rId1" display="Quelle: https://www.bmwsb.bund.de/SharedDocs/downloads/Webs/BMWSB/DE/veroeffentlichungen/pflichtinformation-geg.pdf;jsessionid=0D3F3FCFD53A05A30076107CDC7B9B97.live861?__blob=publicationFile&amp;v=2" xr:uid="{AEB3B4C2-8720-4547-9D55-67FC3A38E218}"/>
  </hyperlinks>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70AA-A47C-410B-B6CA-4A066F2A315B}">
  <dimension ref="B1:H28"/>
  <sheetViews>
    <sheetView topLeftCell="B13" workbookViewId="0">
      <selection activeCell="D6" sqref="D6"/>
    </sheetView>
  </sheetViews>
  <sheetFormatPr baseColWidth="10" defaultRowHeight="14.4" x14ac:dyDescent="0.3"/>
  <cols>
    <col min="2" max="2" width="70.5546875" customWidth="1"/>
    <col min="3" max="3" width="22.33203125" customWidth="1"/>
    <col min="4" max="5" width="17.6640625" customWidth="1"/>
    <col min="6" max="6" width="17" customWidth="1"/>
    <col min="7" max="7" width="46.5546875" customWidth="1"/>
    <col min="8" max="8" width="158.6640625" customWidth="1"/>
  </cols>
  <sheetData>
    <row r="1" spans="2:8" ht="15" thickBot="1" x14ac:dyDescent="0.35">
      <c r="D1" s="19"/>
      <c r="E1" s="19"/>
    </row>
    <row r="2" spans="2:8" ht="34.799999999999997" thickTop="1" thickBot="1" x14ac:dyDescent="0.7">
      <c r="B2" s="217" t="s">
        <v>161</v>
      </c>
      <c r="C2" s="233"/>
      <c r="D2" s="218"/>
      <c r="E2" s="218"/>
      <c r="F2" s="218"/>
      <c r="G2" s="72">
        <v>125</v>
      </c>
      <c r="H2" s="73" t="s">
        <v>163</v>
      </c>
    </row>
    <row r="3" spans="2:8" ht="26.4" thickBot="1" x14ac:dyDescent="0.55000000000000004">
      <c r="B3" s="70" t="s">
        <v>162</v>
      </c>
      <c r="C3" s="101"/>
      <c r="D3" s="71" t="s">
        <v>207</v>
      </c>
      <c r="E3" s="71" t="s">
        <v>208</v>
      </c>
      <c r="F3" s="71" t="s">
        <v>165</v>
      </c>
      <c r="G3" s="71" t="s">
        <v>169</v>
      </c>
      <c r="H3" s="74" t="s">
        <v>166</v>
      </c>
    </row>
    <row r="4" spans="2:8" ht="26.4" thickBot="1" x14ac:dyDescent="0.55000000000000004">
      <c r="B4" s="70" t="s">
        <v>167</v>
      </c>
      <c r="C4" s="103">
        <v>15</v>
      </c>
      <c r="D4" s="34">
        <v>15</v>
      </c>
      <c r="E4" s="34">
        <v>35</v>
      </c>
      <c r="F4" s="34">
        <v>45</v>
      </c>
      <c r="G4" s="34">
        <v>150</v>
      </c>
      <c r="H4" s="36">
        <v>225</v>
      </c>
    </row>
    <row r="5" spans="2:8" ht="26.4" thickBot="1" x14ac:dyDescent="0.55000000000000004">
      <c r="B5" s="70" t="s">
        <v>168</v>
      </c>
      <c r="C5" s="102"/>
      <c r="D5" s="35">
        <f>D4*$G$2</f>
        <v>1875</v>
      </c>
      <c r="E5" s="35">
        <f>E4*$G$2</f>
        <v>4375</v>
      </c>
      <c r="F5" s="35">
        <f>F4*$G$2</f>
        <v>5625</v>
      </c>
      <c r="G5" s="35">
        <f>G4*$G$2</f>
        <v>18750</v>
      </c>
      <c r="H5" s="37">
        <f>H4*$G$2</f>
        <v>28125</v>
      </c>
    </row>
    <row r="6" spans="2:8" ht="30" thickBot="1" x14ac:dyDescent="0.7">
      <c r="B6" s="70" t="s">
        <v>185</v>
      </c>
      <c r="C6" s="102"/>
      <c r="D6" s="99">
        <v>649.57000000000005</v>
      </c>
      <c r="E6" s="99" t="e">
        <f>Tabelle1!E4</f>
        <v>#REF!</v>
      </c>
      <c r="F6" s="99" t="e">
        <f>Tabelle1!E5</f>
        <v>#REF!</v>
      </c>
      <c r="G6" s="99">
        <v>1943</v>
      </c>
      <c r="H6" s="100">
        <v>2915</v>
      </c>
    </row>
    <row r="7" spans="2:8" ht="15" thickBot="1" x14ac:dyDescent="0.35">
      <c r="B7" s="219" t="s">
        <v>170</v>
      </c>
      <c r="C7" s="234"/>
      <c r="D7" s="220"/>
      <c r="E7" s="220"/>
      <c r="F7" s="220"/>
      <c r="G7" s="220"/>
      <c r="H7" s="221"/>
    </row>
    <row r="8" spans="2:8" ht="15" thickTop="1" x14ac:dyDescent="0.3">
      <c r="D8" s="19"/>
      <c r="E8" s="19"/>
    </row>
    <row r="9" spans="2:8" x14ac:dyDescent="0.3">
      <c r="D9" s="19"/>
      <c r="E9" s="19"/>
    </row>
    <row r="10" spans="2:8" x14ac:dyDescent="0.3">
      <c r="D10" s="19"/>
      <c r="E10" s="19"/>
    </row>
    <row r="11" spans="2:8" x14ac:dyDescent="0.3">
      <c r="D11" s="19"/>
      <c r="E11" s="19"/>
    </row>
    <row r="12" spans="2:8" x14ac:dyDescent="0.3">
      <c r="D12" s="19"/>
      <c r="E12" s="19"/>
    </row>
    <row r="13" spans="2:8" x14ac:dyDescent="0.3">
      <c r="D13" s="19"/>
      <c r="E13" s="19"/>
    </row>
    <row r="14" spans="2:8" x14ac:dyDescent="0.3">
      <c r="D14" s="19"/>
      <c r="E14" s="19"/>
    </row>
    <row r="15" spans="2:8" x14ac:dyDescent="0.3">
      <c r="D15" s="19"/>
      <c r="E15" s="19"/>
    </row>
    <row r="16" spans="2:8" x14ac:dyDescent="0.3">
      <c r="D16" s="19"/>
      <c r="E16" s="19"/>
    </row>
    <row r="17" spans="2:8" x14ac:dyDescent="0.3">
      <c r="D17" s="19"/>
      <c r="E17" s="19"/>
    </row>
    <row r="18" spans="2:8" x14ac:dyDescent="0.3">
      <c r="D18" s="19"/>
      <c r="E18" s="19"/>
    </row>
    <row r="19" spans="2:8" x14ac:dyDescent="0.3">
      <c r="D19" s="19"/>
      <c r="E19" s="19"/>
    </row>
    <row r="20" spans="2:8" x14ac:dyDescent="0.3">
      <c r="D20" s="19"/>
      <c r="E20" s="19"/>
    </row>
    <row r="21" spans="2:8" x14ac:dyDescent="0.3">
      <c r="D21" s="19"/>
      <c r="E21" s="19"/>
    </row>
    <row r="22" spans="2:8" x14ac:dyDescent="0.3">
      <c r="D22" s="19"/>
      <c r="E22" s="19"/>
    </row>
    <row r="23" spans="2:8" x14ac:dyDescent="0.3">
      <c r="D23" s="19"/>
      <c r="E23" s="19"/>
    </row>
    <row r="24" spans="2:8" x14ac:dyDescent="0.3">
      <c r="D24" s="19"/>
      <c r="E24" s="19"/>
    </row>
    <row r="25" spans="2:8" x14ac:dyDescent="0.3">
      <c r="D25" s="19"/>
      <c r="E25" s="19"/>
    </row>
    <row r="26" spans="2:8" x14ac:dyDescent="0.3">
      <c r="D26" s="19"/>
      <c r="E26" s="19"/>
    </row>
    <row r="27" spans="2:8" x14ac:dyDescent="0.3">
      <c r="D27" s="19"/>
      <c r="E27" s="19"/>
    </row>
    <row r="28" spans="2:8" x14ac:dyDescent="0.3">
      <c r="B28" s="222" t="s">
        <v>171</v>
      </c>
      <c r="C28" s="222"/>
      <c r="D28" s="222"/>
      <c r="E28" s="222"/>
      <c r="F28" s="222"/>
      <c r="G28" s="222"/>
      <c r="H28" s="222"/>
    </row>
  </sheetData>
  <mergeCells count="3">
    <mergeCell ref="B2:F2"/>
    <mergeCell ref="B7:H7"/>
    <mergeCell ref="B28:H28"/>
  </mergeCells>
  <pageMargins left="0.7" right="0.7" top="0.78740157499999996" bottom="0.78740157499999996" header="0.3" footer="0.3"/>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8</vt:i4>
      </vt:variant>
    </vt:vector>
  </HeadingPairs>
  <TitlesOfParts>
    <vt:vector size="22" baseType="lpstr">
      <vt:lpstr>Einführung </vt:lpstr>
      <vt:lpstr>CO2_Bepreisungsrechner</vt:lpstr>
      <vt:lpstr>Preisauswirkungen</vt:lpstr>
      <vt:lpstr>Grafik</vt:lpstr>
      <vt:lpstr>Beispiele_Wohngebäude</vt:lpstr>
      <vt:lpstr>Wohngebäude_Niedriger Preis</vt:lpstr>
      <vt:lpstr>Wohngebäude_Moderater Preis</vt:lpstr>
      <vt:lpstr>Wohngebäude_Hoher Preis</vt:lpstr>
      <vt:lpstr>Tabelle2</vt:lpstr>
      <vt:lpstr>Tabelle1</vt:lpstr>
      <vt:lpstr>CO2-Faktoren (LAK)</vt:lpstr>
      <vt:lpstr>Heiz- und Brennwert (Bafa)</vt:lpstr>
      <vt:lpstr>CO2-Faktoren-Verkehr</vt:lpstr>
      <vt:lpstr>Umrechnungen</vt:lpstr>
      <vt:lpstr>CO2_Aufschlag</vt:lpstr>
      <vt:lpstr>CO2_Aufschlag_ExcelAlt</vt:lpstr>
      <vt:lpstr>Beispiele_Wohngebäude!Druckbereich</vt:lpstr>
      <vt:lpstr>CO2_Bepreisungsrechner!Druckbereich</vt:lpstr>
      <vt:lpstr>'Einführung '!Druckbereich</vt:lpstr>
      <vt:lpstr>'Wohngebäude_Hoher Preis'!Druckbereich</vt:lpstr>
      <vt:lpstr>'Wohngebäude_Moderater Preis'!Druckbereich</vt:lpstr>
      <vt:lpstr>'Wohngebäude_Niedriger Preis'!Druckbereich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Ngahan</dc:creator>
  <cp:lastModifiedBy>Melanie Rupp</cp:lastModifiedBy>
  <cp:lastPrinted>2024-01-22T08:15:37Z</cp:lastPrinted>
  <dcterms:created xsi:type="dcterms:W3CDTF">2020-12-15T08:47:33Z</dcterms:created>
  <dcterms:modified xsi:type="dcterms:W3CDTF">2025-02-24T13:26:07Z</dcterms:modified>
</cp:coreProperties>
</file>